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uffalo-my.sharepoint.com/personal/cdvalent_buffalo_edu/Documents/"/>
    </mc:Choice>
  </mc:AlternateContent>
  <xr:revisionPtr revIDLastSave="2" documentId="8_{96F2C31E-03A2-46C9-81C7-417510738D53}" xr6:coauthVersionLast="47" xr6:coauthVersionMax="47" xr10:uidLastSave="{1C2A98F4-FA46-4CD3-9F4B-4BEB67AEABD9}"/>
  <bookViews>
    <workbookView xWindow="-120" yWindow="-120" windowWidth="29040" windowHeight="15720" xr2:uid="{00000000-000D-0000-FFFF-FFFF00000000}"/>
  </bookViews>
  <sheets>
    <sheet name="CCSI" sheetId="1" r:id="rId1"/>
  </sheets>
  <definedNames>
    <definedName name="Circ">CCSI!#REF!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L171" i="1"/>
  <c r="K171" i="1" s="1"/>
  <c r="N171" i="1"/>
  <c r="O171" i="1" s="1"/>
  <c r="I41" i="1"/>
  <c r="E171" i="1"/>
  <c r="F171" i="1" s="1"/>
  <c r="G171" i="1" s="1"/>
  <c r="H171" i="1" s="1"/>
  <c r="I37" i="1"/>
  <c r="J37" i="1" s="1"/>
  <c r="K37" i="1" s="1"/>
  <c r="L37" i="1" s="1"/>
  <c r="M37" i="1" s="1"/>
  <c r="N37" i="1" s="1"/>
  <c r="O37" i="1" s="1"/>
  <c r="I36" i="1"/>
  <c r="J36" i="1"/>
  <c r="K36" i="1"/>
  <c r="L36" i="1"/>
  <c r="M36" i="1"/>
  <c r="N36" i="1"/>
  <c r="O36" i="1"/>
  <c r="G180" i="1"/>
  <c r="H180" i="1" s="1"/>
  <c r="E180" i="1"/>
  <c r="D180" i="1" s="1"/>
  <c r="H52" i="1"/>
  <c r="G52" i="1"/>
  <c r="G53" i="1"/>
  <c r="H53" i="1"/>
  <c r="J41" i="1"/>
  <c r="K41" i="1" s="1"/>
  <c r="L41" i="1" s="1"/>
  <c r="M41" i="1" s="1"/>
  <c r="N41" i="1" s="1"/>
  <c r="C124" i="1"/>
  <c r="C125" i="1"/>
  <c r="I125" i="1" s="1"/>
  <c r="N180" i="1"/>
  <c r="O180" i="1" s="1"/>
  <c r="L180" i="1"/>
  <c r="K180" i="1" s="1"/>
  <c r="C182" i="1"/>
  <c r="C183" i="1" s="1"/>
  <c r="C184" i="1" s="1"/>
  <c r="C185" i="1" s="1"/>
  <c r="J173" i="1"/>
  <c r="J174" i="1" s="1"/>
  <c r="J175" i="1"/>
  <c r="I135" i="1"/>
  <c r="H133" i="1"/>
  <c r="J131" i="1" s="1"/>
  <c r="K25" i="1"/>
  <c r="B116" i="1"/>
  <c r="C173" i="1"/>
  <c r="C174" i="1" s="1"/>
  <c r="C175" i="1" s="1"/>
  <c r="C176" i="1" s="1"/>
  <c r="H34" i="1"/>
  <c r="H38" i="1" s="1"/>
  <c r="H49" i="1" s="1"/>
  <c r="H145" i="1" s="1"/>
  <c r="G34" i="1"/>
  <c r="G38" i="1" s="1"/>
  <c r="G49" i="1" s="1"/>
  <c r="F34" i="1"/>
  <c r="F38" i="1" s="1"/>
  <c r="F49" i="1" s="1"/>
  <c r="D14" i="1"/>
  <c r="F82" i="1"/>
  <c r="B62" i="1"/>
  <c r="B82" i="1"/>
  <c r="I153" i="1"/>
  <c r="B150" i="1"/>
  <c r="B90" i="1"/>
  <c r="F85" i="1"/>
  <c r="O19" i="1"/>
  <c r="O22" i="1" s="1"/>
  <c r="I71" i="1"/>
  <c r="H72" i="1"/>
  <c r="G72" i="1"/>
  <c r="H66" i="1"/>
  <c r="G66" i="1"/>
  <c r="I103" i="1"/>
  <c r="C23" i="1"/>
  <c r="J57" i="1"/>
  <c r="J103" i="1" s="1"/>
  <c r="J54" i="1"/>
  <c r="K54" i="1" s="1"/>
  <c r="L54" i="1" s="1"/>
  <c r="G30" i="1"/>
  <c r="M54" i="1" l="1"/>
  <c r="N54" i="1" s="1"/>
  <c r="O54" i="1" s="1"/>
  <c r="H55" i="1"/>
  <c r="F42" i="1"/>
  <c r="F45" i="1" s="1"/>
  <c r="G14" i="1"/>
  <c r="H42" i="1"/>
  <c r="H57" i="1" s="1"/>
  <c r="G42" i="1"/>
  <c r="G45" i="1" s="1"/>
  <c r="J14" i="1"/>
  <c r="I126" i="1"/>
  <c r="J125" i="1"/>
  <c r="K125" i="1" s="1"/>
  <c r="L125" i="1" s="1"/>
  <c r="I131" i="1"/>
  <c r="J176" i="1"/>
  <c r="J135" i="1"/>
  <c r="K135" i="1" s="1"/>
  <c r="L135" i="1" s="1"/>
  <c r="M135" i="1" s="1"/>
  <c r="N135" i="1" s="1"/>
  <c r="O135" i="1" s="1"/>
  <c r="F14" i="1"/>
  <c r="G82" i="1"/>
  <c r="G116" i="1"/>
  <c r="O41" i="1"/>
  <c r="O100" i="1" s="1"/>
  <c r="N100" i="1"/>
  <c r="J71" i="1"/>
  <c r="E14" i="1"/>
  <c r="H20" i="1"/>
  <c r="I14" i="1"/>
  <c r="J153" i="1"/>
  <c r="K153" i="1" s="1"/>
  <c r="L153" i="1" s="1"/>
  <c r="M153" i="1" s="1"/>
  <c r="N153" i="1" s="1"/>
  <c r="O153" i="1" s="1"/>
  <c r="H21" i="1"/>
  <c r="G85" i="1"/>
  <c r="H51" i="1"/>
  <c r="H74" i="1"/>
  <c r="G62" i="1"/>
  <c r="G54" i="1"/>
  <c r="H45" i="1"/>
  <c r="G74" i="1"/>
  <c r="G77" i="1" s="1"/>
  <c r="H19" i="1"/>
  <c r="G51" i="1"/>
  <c r="I100" i="1"/>
  <c r="G56" i="1"/>
  <c r="F57" i="1"/>
  <c r="J100" i="1"/>
  <c r="K100" i="1"/>
  <c r="L100" i="1"/>
  <c r="F56" i="1"/>
  <c r="H30" i="1"/>
  <c r="K57" i="1"/>
  <c r="K103" i="1" s="1"/>
  <c r="G55" i="1"/>
  <c r="F55" i="1"/>
  <c r="H56" i="1"/>
  <c r="I51" i="1" l="1"/>
  <c r="J51" i="1" s="1"/>
  <c r="K51" i="1" s="1"/>
  <c r="L51" i="1" s="1"/>
  <c r="M51" i="1" s="1"/>
  <c r="K71" i="1"/>
  <c r="L71" i="1" s="1"/>
  <c r="M71" i="1" s="1"/>
  <c r="N71" i="1" s="1"/>
  <c r="O71" i="1" s="1"/>
  <c r="I48" i="1"/>
  <c r="I47" i="1"/>
  <c r="I32" i="1"/>
  <c r="I34" i="1" s="1"/>
  <c r="I93" i="1"/>
  <c r="J32" i="1"/>
  <c r="G57" i="1"/>
  <c r="K126" i="1"/>
  <c r="J126" i="1"/>
  <c r="L126" i="1"/>
  <c r="M125" i="1"/>
  <c r="J136" i="1"/>
  <c r="I136" i="1"/>
  <c r="H14" i="1"/>
  <c r="K14" i="1" s="1"/>
  <c r="H150" i="1"/>
  <c r="H116" i="1"/>
  <c r="H22" i="1"/>
  <c r="E20" i="1" s="1"/>
  <c r="H75" i="1"/>
  <c r="H82" i="1"/>
  <c r="I30" i="1"/>
  <c r="H62" i="1"/>
  <c r="I92" i="1"/>
  <c r="H77" i="1"/>
  <c r="H84" i="1"/>
  <c r="I84" i="1" s="1"/>
  <c r="M100" i="1"/>
  <c r="F54" i="1"/>
  <c r="I90" i="1"/>
  <c r="L57" i="1"/>
  <c r="L103" i="1" s="1"/>
  <c r="I38" i="1" l="1"/>
  <c r="I33" i="1"/>
  <c r="J47" i="1"/>
  <c r="K47" i="1" s="1"/>
  <c r="J48" i="1"/>
  <c r="K48" i="1" s="1"/>
  <c r="I49" i="1"/>
  <c r="I55" i="1"/>
  <c r="M126" i="1"/>
  <c r="N125" i="1"/>
  <c r="I116" i="1"/>
  <c r="I62" i="1"/>
  <c r="E19" i="1"/>
  <c r="I97" i="1"/>
  <c r="I96" i="1"/>
  <c r="I150" i="1"/>
  <c r="I82" i="1"/>
  <c r="I70" i="1"/>
  <c r="J70" i="1" s="1"/>
  <c r="I68" i="1"/>
  <c r="I65" i="1"/>
  <c r="J65" i="1" s="1"/>
  <c r="I64" i="1"/>
  <c r="H85" i="1"/>
  <c r="J30" i="1"/>
  <c r="M57" i="1"/>
  <c r="N57" i="1" s="1"/>
  <c r="K20" i="1" l="1"/>
  <c r="C25" i="1"/>
  <c r="I119" i="1"/>
  <c r="I128" i="1" s="1"/>
  <c r="I138" i="1" s="1"/>
  <c r="K32" i="1"/>
  <c r="L32" i="1" s="1"/>
  <c r="O125" i="1"/>
  <c r="O126" i="1" s="1"/>
  <c r="N126" i="1"/>
  <c r="I152" i="1"/>
  <c r="I155" i="1" s="1"/>
  <c r="E22" i="1"/>
  <c r="H159" i="1" s="1"/>
  <c r="K19" i="1"/>
  <c r="J116" i="1"/>
  <c r="J62" i="1"/>
  <c r="O57" i="1"/>
  <c r="O103" i="1" s="1"/>
  <c r="N103" i="1"/>
  <c r="H160" i="1"/>
  <c r="I85" i="1"/>
  <c r="I109" i="1"/>
  <c r="J90" i="1"/>
  <c r="J150" i="1"/>
  <c r="J82" i="1"/>
  <c r="J84" i="1"/>
  <c r="I94" i="1"/>
  <c r="I106" i="1" s="1"/>
  <c r="I66" i="1"/>
  <c r="J64" i="1"/>
  <c r="K64" i="1" s="1"/>
  <c r="J68" i="1"/>
  <c r="K68" i="1" s="1"/>
  <c r="M103" i="1"/>
  <c r="K30" i="1"/>
  <c r="I141" i="1" l="1"/>
  <c r="I145" i="1" s="1"/>
  <c r="C120" i="1"/>
  <c r="I120" i="1" s="1"/>
  <c r="I40" i="1"/>
  <c r="I42" i="1" s="1"/>
  <c r="I44" i="1" s="1"/>
  <c r="I45" i="1" s="1"/>
  <c r="L48" i="1"/>
  <c r="M48" i="1" s="1"/>
  <c r="L47" i="1"/>
  <c r="M47" i="1" s="1"/>
  <c r="K116" i="1"/>
  <c r="K62" i="1"/>
  <c r="H162" i="1"/>
  <c r="J109" i="1"/>
  <c r="K84" i="1"/>
  <c r="K90" i="1"/>
  <c r="K150" i="1"/>
  <c r="K82" i="1"/>
  <c r="J66" i="1"/>
  <c r="L30" i="1"/>
  <c r="N51" i="1" l="1"/>
  <c r="O51" i="1"/>
  <c r="I108" i="1"/>
  <c r="L116" i="1"/>
  <c r="L62" i="1"/>
  <c r="L90" i="1"/>
  <c r="L82" i="1"/>
  <c r="L150" i="1"/>
  <c r="M30" i="1"/>
  <c r="N47" i="1" l="1"/>
  <c r="O47" i="1" s="1"/>
  <c r="N48" i="1"/>
  <c r="O48" i="1" s="1"/>
  <c r="M116" i="1"/>
  <c r="M62" i="1"/>
  <c r="N30" i="1"/>
  <c r="M90" i="1"/>
  <c r="M82" i="1"/>
  <c r="M150" i="1"/>
  <c r="J93" i="1"/>
  <c r="N116" i="1" l="1"/>
  <c r="N62" i="1"/>
  <c r="N82" i="1"/>
  <c r="N90" i="1"/>
  <c r="N150" i="1"/>
  <c r="O30" i="1"/>
  <c r="K65" i="1"/>
  <c r="K70" i="1"/>
  <c r="K93" i="1"/>
  <c r="K109" i="1"/>
  <c r="O116" i="1" l="1"/>
  <c r="O62" i="1"/>
  <c r="O82" i="1"/>
  <c r="O90" i="1"/>
  <c r="O150" i="1"/>
  <c r="K66" i="1"/>
  <c r="J92" i="1" l="1"/>
  <c r="J34" i="1"/>
  <c r="J38" i="1" s="1"/>
  <c r="J55" i="1" s="1"/>
  <c r="L64" i="1"/>
  <c r="L68" i="1"/>
  <c r="L70" i="1"/>
  <c r="L65" i="1"/>
  <c r="L93" i="1"/>
  <c r="L84" i="1"/>
  <c r="I56" i="1"/>
  <c r="I98" i="1"/>
  <c r="J85" i="1"/>
  <c r="J97" i="1"/>
  <c r="J96" i="1"/>
  <c r="J33" i="1" l="1"/>
  <c r="L109" i="1"/>
  <c r="K92" i="1"/>
  <c r="K34" i="1"/>
  <c r="K38" i="1" s="1"/>
  <c r="L34" i="1"/>
  <c r="L38" i="1" s="1"/>
  <c r="L92" i="1"/>
  <c r="K85" i="1"/>
  <c r="L66" i="1"/>
  <c r="I95" i="1"/>
  <c r="K96" i="1"/>
  <c r="K97" i="1"/>
  <c r="J49" i="1" l="1"/>
  <c r="J98" i="1"/>
  <c r="K55" i="1"/>
  <c r="K49" i="1"/>
  <c r="K152" i="1" s="1"/>
  <c r="K155" i="1" s="1"/>
  <c r="L33" i="1"/>
  <c r="K33" i="1"/>
  <c r="L85" i="1"/>
  <c r="L97" i="1"/>
  <c r="L96" i="1"/>
  <c r="K98" i="1"/>
  <c r="J94" i="1" l="1"/>
  <c r="J106" i="1" s="1"/>
  <c r="J56" i="1"/>
  <c r="J95" i="1"/>
  <c r="J152" i="1"/>
  <c r="J155" i="1" s="1"/>
  <c r="L55" i="1"/>
  <c r="L49" i="1"/>
  <c r="L98" i="1"/>
  <c r="K56" i="1"/>
  <c r="K95" i="1" s="1"/>
  <c r="K94" i="1"/>
  <c r="K106" i="1" s="1"/>
  <c r="L152" i="1" l="1"/>
  <c r="L155" i="1" s="1"/>
  <c r="L56" i="1"/>
  <c r="L95" i="1" s="1"/>
  <c r="L94" i="1"/>
  <c r="L106" i="1" s="1"/>
  <c r="I99" i="1" l="1"/>
  <c r="I102" i="1" l="1"/>
  <c r="I69" i="1"/>
  <c r="I101" i="1"/>
  <c r="I107" i="1"/>
  <c r="I72" i="1" l="1"/>
  <c r="I74" i="1" s="1"/>
  <c r="I75" i="1" s="1"/>
  <c r="I110" i="1" s="1"/>
  <c r="I111" i="1" l="1"/>
  <c r="I77" i="1"/>
  <c r="I121" i="1" l="1"/>
  <c r="I132" i="1" s="1"/>
  <c r="I133" i="1" s="1"/>
  <c r="I122" i="1" l="1"/>
  <c r="J119" i="1" s="1"/>
  <c r="I142" i="1"/>
  <c r="I143" i="1" s="1"/>
  <c r="I157" i="1" l="1"/>
  <c r="I156" i="1"/>
  <c r="J141" i="1"/>
  <c r="J145" i="1" s="1"/>
  <c r="J128" i="1"/>
  <c r="J120" i="1"/>
  <c r="I162" i="1" l="1"/>
  <c r="I164" i="1" s="1"/>
  <c r="J40" i="1"/>
  <c r="J108" i="1" s="1"/>
  <c r="J138" i="1"/>
  <c r="I163" i="1" l="1"/>
  <c r="J42" i="1"/>
  <c r="J69" i="1" s="1"/>
  <c r="J99" i="1"/>
  <c r="J72" i="1" l="1"/>
  <c r="J74" i="1" s="1"/>
  <c r="J101" i="1"/>
  <c r="J44" i="1"/>
  <c r="J107" i="1" s="1"/>
  <c r="J75" i="1" l="1"/>
  <c r="J110" i="1" s="1"/>
  <c r="J111" i="1" s="1"/>
  <c r="J121" i="1" s="1"/>
  <c r="J132" i="1" s="1"/>
  <c r="J77" i="1"/>
  <c r="J102" i="1"/>
  <c r="J45" i="1"/>
  <c r="J133" i="1" l="1"/>
  <c r="K131" i="1" s="1"/>
  <c r="J122" i="1"/>
  <c r="K119" i="1" s="1"/>
  <c r="J142" i="1"/>
  <c r="J143" i="1" s="1"/>
  <c r="K136" i="1" l="1"/>
  <c r="J157" i="1"/>
  <c r="J156" i="1"/>
  <c r="K141" i="1"/>
  <c r="K145" i="1" s="1"/>
  <c r="K120" i="1"/>
  <c r="K128" i="1"/>
  <c r="K40" i="1" s="1"/>
  <c r="K108" i="1" s="1"/>
  <c r="K138" i="1" l="1"/>
  <c r="J162" i="1"/>
  <c r="J163" i="1" s="1"/>
  <c r="K99" i="1"/>
  <c r="K42" i="1"/>
  <c r="K101" i="1" l="1"/>
  <c r="K69" i="1"/>
  <c r="K44" i="1"/>
  <c r="K107" i="1" s="1"/>
  <c r="K102" i="1" l="1"/>
  <c r="K45" i="1"/>
  <c r="K72" i="1"/>
  <c r="K74" i="1" s="1"/>
  <c r="K77" i="1" s="1"/>
  <c r="K75" i="1" l="1"/>
  <c r="K110" i="1" s="1"/>
  <c r="K111" i="1" s="1"/>
  <c r="K121" i="1" l="1"/>
  <c r="K132" i="1" s="1"/>
  <c r="K133" i="1" l="1"/>
  <c r="L131" i="1" s="1"/>
  <c r="K122" i="1"/>
  <c r="L119" i="1" s="1"/>
  <c r="K142" i="1"/>
  <c r="K143" i="1" s="1"/>
  <c r="L136" i="1" l="1"/>
  <c r="K157" i="1"/>
  <c r="K156" i="1"/>
  <c r="L141" i="1"/>
  <c r="L145" i="1" s="1"/>
  <c r="L128" i="1"/>
  <c r="L40" i="1" s="1"/>
  <c r="L108" i="1" s="1"/>
  <c r="L120" i="1"/>
  <c r="K162" i="1" l="1"/>
  <c r="K163" i="1" s="1"/>
  <c r="L138" i="1"/>
  <c r="L42" i="1"/>
  <c r="L44" i="1" s="1"/>
  <c r="L99" i="1"/>
  <c r="L69" i="1" l="1"/>
  <c r="L72" i="1" s="1"/>
  <c r="L74" i="1" s="1"/>
  <c r="L101" i="1"/>
  <c r="L107" i="1"/>
  <c r="L45" i="1"/>
  <c r="L102" i="1"/>
  <c r="L75" i="1" l="1"/>
  <c r="L110" i="1" s="1"/>
  <c r="L77" i="1"/>
  <c r="L111" i="1" l="1"/>
  <c r="L121" i="1" s="1"/>
  <c r="L132" i="1" l="1"/>
  <c r="L122" i="1"/>
  <c r="M119" i="1" s="1"/>
  <c r="M141" i="1" s="1"/>
  <c r="L142" i="1"/>
  <c r="L143" i="1" s="1"/>
  <c r="L133" i="1" l="1"/>
  <c r="M131" i="1" s="1"/>
  <c r="M136" i="1" s="1"/>
  <c r="M120" i="1"/>
  <c r="M128" i="1"/>
  <c r="M40" i="1" s="1"/>
  <c r="M108" i="1" s="1"/>
  <c r="L156" i="1"/>
  <c r="L157" i="1"/>
  <c r="M138" i="1" l="1"/>
  <c r="M99" i="1"/>
  <c r="L162" i="1"/>
  <c r="L163" i="1" s="1"/>
  <c r="J164" i="1" l="1"/>
  <c r="K164" i="1"/>
  <c r="L164" i="1"/>
  <c r="H54" i="1" l="1"/>
  <c r="M70" i="1" l="1"/>
  <c r="N70" i="1" s="1"/>
  <c r="O70" i="1" s="1"/>
  <c r="M65" i="1"/>
  <c r="N65" i="1" s="1"/>
  <c r="O65" i="1" s="1"/>
  <c r="M97" i="1"/>
  <c r="N97" i="1"/>
  <c r="M68" i="1"/>
  <c r="N68" i="1" s="1"/>
  <c r="N93" i="1"/>
  <c r="M93" i="1"/>
  <c r="M84" i="1"/>
  <c r="N84" i="1" s="1"/>
  <c r="M64" i="1"/>
  <c r="N64" i="1" s="1"/>
  <c r="M32" i="1"/>
  <c r="M92" i="1" s="1"/>
  <c r="M66" i="1" l="1"/>
  <c r="N66" i="1"/>
  <c r="N96" i="1"/>
  <c r="O96" i="1"/>
  <c r="O97" i="1"/>
  <c r="O68" i="1"/>
  <c r="O93" i="1"/>
  <c r="O84" i="1"/>
  <c r="N109" i="1"/>
  <c r="M96" i="1"/>
  <c r="N32" i="1"/>
  <c r="N85" i="1" s="1"/>
  <c r="M34" i="1"/>
  <c r="M38" i="1" s="1"/>
  <c r="O64" i="1"/>
  <c r="O66" i="1" s="1"/>
  <c r="M109" i="1"/>
  <c r="M85" i="1"/>
  <c r="O109" i="1" l="1"/>
  <c r="N34" i="1"/>
  <c r="N38" i="1" s="1"/>
  <c r="N92" i="1"/>
  <c r="O32" i="1"/>
  <c r="G25" i="1" s="1"/>
  <c r="M33" i="1"/>
  <c r="O34" i="1" l="1"/>
  <c r="O38" i="1" s="1"/>
  <c r="O92" i="1"/>
  <c r="N33" i="1"/>
  <c r="M42" i="1"/>
  <c r="M49" i="1"/>
  <c r="M145" i="1" s="1"/>
  <c r="M55" i="1"/>
  <c r="M98" i="1"/>
  <c r="O85" i="1"/>
  <c r="M56" i="1" l="1"/>
  <c r="M95" i="1" s="1"/>
  <c r="M152" i="1"/>
  <c r="M155" i="1" s="1"/>
  <c r="M94" i="1"/>
  <c r="M106" i="1" s="1"/>
  <c r="M101" i="1"/>
  <c r="M44" i="1"/>
  <c r="M69" i="1"/>
  <c r="N49" i="1"/>
  <c r="N98" i="1"/>
  <c r="N55" i="1"/>
  <c r="O33" i="1"/>
  <c r="N56" i="1" l="1"/>
  <c r="N95" i="1" s="1"/>
  <c r="N94" i="1"/>
  <c r="N106" i="1" s="1"/>
  <c r="N152" i="1"/>
  <c r="N155" i="1" s="1"/>
  <c r="M72" i="1"/>
  <c r="M74" i="1" s="1"/>
  <c r="M102" i="1"/>
  <c r="M107" i="1"/>
  <c r="M45" i="1"/>
  <c r="O98" i="1"/>
  <c r="O55" i="1"/>
  <c r="O49" i="1"/>
  <c r="O56" i="1" s="1"/>
  <c r="O94" i="1" l="1"/>
  <c r="O106" i="1" s="1"/>
  <c r="O95" i="1"/>
  <c r="O152" i="1"/>
  <c r="O155" i="1" s="1"/>
  <c r="M77" i="1"/>
  <c r="M75" i="1"/>
  <c r="M110" i="1" s="1"/>
  <c r="M111" i="1" s="1"/>
  <c r="M121" i="1" l="1"/>
  <c r="M132" i="1" s="1"/>
  <c r="M133" i="1" s="1"/>
  <c r="N131" i="1" s="1"/>
  <c r="N136" i="1" l="1"/>
  <c r="M142" i="1"/>
  <c r="M143" i="1" s="1"/>
  <c r="M122" i="1"/>
  <c r="N119" i="1" s="1"/>
  <c r="M156" i="1" l="1"/>
  <c r="M157" i="1"/>
  <c r="N141" i="1"/>
  <c r="N145" i="1" s="1"/>
  <c r="N120" i="1"/>
  <c r="N128" i="1"/>
  <c r="N40" i="1" s="1"/>
  <c r="N138" i="1" l="1"/>
  <c r="N99" i="1"/>
  <c r="N108" i="1"/>
  <c r="N42" i="1"/>
  <c r="M162" i="1"/>
  <c r="M163" i="1" l="1"/>
  <c r="M164" i="1"/>
  <c r="N101" i="1"/>
  <c r="N44" i="1"/>
  <c r="N69" i="1"/>
  <c r="N107" i="1" l="1"/>
  <c r="N102" i="1"/>
  <c r="N72" i="1"/>
  <c r="N74" i="1" s="1"/>
  <c r="N45" i="1"/>
  <c r="N75" i="1" l="1"/>
  <c r="N110" i="1" s="1"/>
  <c r="N111" i="1" s="1"/>
  <c r="N77" i="1"/>
  <c r="N121" i="1" l="1"/>
  <c r="N132" i="1" s="1"/>
  <c r="N133" i="1" s="1"/>
  <c r="O131" i="1" s="1"/>
  <c r="O136" i="1" l="1"/>
  <c r="N142" i="1"/>
  <c r="N143" i="1" s="1"/>
  <c r="N122" i="1"/>
  <c r="O119" i="1" s="1"/>
  <c r="O141" i="1" s="1"/>
  <c r="N156" i="1" l="1"/>
  <c r="N157" i="1"/>
  <c r="O145" i="1"/>
  <c r="O120" i="1"/>
  <c r="O128" i="1"/>
  <c r="O40" i="1" s="1"/>
  <c r="O138" i="1" l="1"/>
  <c r="O99" i="1"/>
  <c r="O108" i="1"/>
  <c r="O42" i="1"/>
  <c r="N162" i="1"/>
  <c r="N164" i="1" l="1"/>
  <c r="N163" i="1"/>
  <c r="O44" i="1"/>
  <c r="O45" i="1" s="1"/>
  <c r="O101" i="1"/>
  <c r="O69" i="1"/>
  <c r="O72" i="1" s="1"/>
  <c r="O74" i="1" s="1"/>
  <c r="O77" i="1" l="1"/>
  <c r="O75" i="1"/>
  <c r="O110" i="1" s="1"/>
  <c r="O107" i="1"/>
  <c r="O102" i="1"/>
  <c r="O111" i="1" l="1"/>
  <c r="O121" i="1" s="1"/>
  <c r="O132" i="1" s="1"/>
  <c r="O133" i="1" s="1"/>
  <c r="O142" i="1" l="1"/>
  <c r="O143" i="1" s="1"/>
  <c r="O122" i="1"/>
  <c r="O156" i="1" l="1"/>
  <c r="O157" i="1"/>
  <c r="O162" i="1" l="1"/>
  <c r="O164" i="1" l="1"/>
  <c r="O163" i="1"/>
  <c r="J180" i="1" l="1"/>
  <c r="C180" i="1"/>
  <c r="J171" i="1"/>
  <c r="C171" i="1"/>
</calcChain>
</file>

<file path=xl/sharedStrings.xml><?xml version="1.0" encoding="utf-8"?>
<sst xmlns="http://schemas.openxmlformats.org/spreadsheetml/2006/main" count="177" uniqueCount="155">
  <si>
    <t>CCSI - LBO</t>
  </si>
  <si>
    <t>University at Buffalo</t>
  </si>
  <si>
    <t>Transaction Assumptions</t>
  </si>
  <si>
    <t>Company</t>
  </si>
  <si>
    <t>Ticker</t>
  </si>
  <si>
    <t>Market Cap</t>
  </si>
  <si>
    <t>Revenue</t>
  </si>
  <si>
    <t>EBITDA</t>
  </si>
  <si>
    <t>EBIT</t>
  </si>
  <si>
    <t>Net Income</t>
  </si>
  <si>
    <t>EV / Revenue</t>
  </si>
  <si>
    <t xml:space="preserve">EV / EBITDA </t>
  </si>
  <si>
    <t>P/E</t>
  </si>
  <si>
    <t>Exit Assumptions</t>
  </si>
  <si>
    <t>Yext, Inc.</t>
  </si>
  <si>
    <t>YEXT</t>
  </si>
  <si>
    <t>2.3x</t>
  </si>
  <si>
    <t>10.2x</t>
  </si>
  <si>
    <t>21.0x</t>
  </si>
  <si>
    <t>Multiple</t>
  </si>
  <si>
    <t>Mitek Systems</t>
  </si>
  <si>
    <t>MITK</t>
  </si>
  <si>
    <t>3.2x</t>
  </si>
  <si>
    <t>13.3x</t>
  </si>
  <si>
    <t>38.8x</t>
  </si>
  <si>
    <t>Length of Investment</t>
  </si>
  <si>
    <t>Red Violet, Inc.</t>
  </si>
  <si>
    <t>RDVT</t>
  </si>
  <si>
    <t>6.4x</t>
  </si>
  <si>
    <t>23.6x</t>
  </si>
  <si>
    <t>32.5x</t>
  </si>
  <si>
    <t>Consensus</t>
  </si>
  <si>
    <t>CCSI</t>
  </si>
  <si>
    <t>Agora, Inc.</t>
  </si>
  <si>
    <t>API</t>
  </si>
  <si>
    <t>1.8x</t>
  </si>
  <si>
    <t>9.7x</t>
  </si>
  <si>
    <t>18.7x</t>
  </si>
  <si>
    <t>Current Purchase Price Analysis</t>
  </si>
  <si>
    <t xml:space="preserve">Assumtions </t>
  </si>
  <si>
    <t>Sources</t>
  </si>
  <si>
    <t>Uses</t>
  </si>
  <si>
    <t>Leverage &amp; Pricing</t>
  </si>
  <si>
    <t>Price per share</t>
  </si>
  <si>
    <t>Purchase price premium</t>
  </si>
  <si>
    <t xml:space="preserve">Transaction close </t>
  </si>
  <si>
    <t xml:space="preserve">Term Loan </t>
  </si>
  <si>
    <t>Equity purchase price</t>
  </si>
  <si>
    <t>Total Debt</t>
  </si>
  <si>
    <t>Per share offer price</t>
  </si>
  <si>
    <t>Circ break 1=on, 0=off</t>
  </si>
  <si>
    <t>Equity</t>
  </si>
  <si>
    <t>Transaction fees</t>
  </si>
  <si>
    <t>Net Debt / '26 EBITDA</t>
  </si>
  <si>
    <t>Financing fees</t>
  </si>
  <si>
    <t>Shares outstanding</t>
  </si>
  <si>
    <t>Total</t>
  </si>
  <si>
    <t>Implied Rating</t>
  </si>
  <si>
    <t>B / B2</t>
  </si>
  <si>
    <t>Debt</t>
  </si>
  <si>
    <t>SOFR</t>
  </si>
  <si>
    <t>Plus: debt outstanding</t>
  </si>
  <si>
    <t>Spread (B Rating)</t>
  </si>
  <si>
    <t>Less: Cash and cash equivalents</t>
  </si>
  <si>
    <t>Post Purchase Equity</t>
  </si>
  <si>
    <t>CAGR</t>
  </si>
  <si>
    <t>Total Rate</t>
  </si>
  <si>
    <t>Firm Value</t>
  </si>
  <si>
    <t>Income Statement</t>
  </si>
  <si>
    <t>($mm)</t>
  </si>
  <si>
    <t>Total Revenue</t>
  </si>
  <si>
    <t>COGS</t>
  </si>
  <si>
    <t>Gross Profit</t>
  </si>
  <si>
    <t>SG&amp;A</t>
  </si>
  <si>
    <t>Research and development</t>
  </si>
  <si>
    <t>Operating Income (EBIT)</t>
  </si>
  <si>
    <t>Interest Expense</t>
  </si>
  <si>
    <t>Other Income (Expense)</t>
  </si>
  <si>
    <t>Pretax profit</t>
  </si>
  <si>
    <t>Income tax expense</t>
  </si>
  <si>
    <t>Net income</t>
  </si>
  <si>
    <t>Depreciation &amp; Amortization</t>
  </si>
  <si>
    <t xml:space="preserve">Stock-Based Compensation </t>
  </si>
  <si>
    <t xml:space="preserve">  EBITDA</t>
  </si>
  <si>
    <t>Total Revenue Growth</t>
  </si>
  <si>
    <t>Gross Margin</t>
  </si>
  <si>
    <t>Operating Margin</t>
  </si>
  <si>
    <t>EBITDA Margin</t>
  </si>
  <si>
    <t>Tax Rate</t>
  </si>
  <si>
    <t>Net Working Capital Schedule</t>
  </si>
  <si>
    <t>Accounts receivable</t>
  </si>
  <si>
    <t>Prepaid expenses and other current assets</t>
  </si>
  <si>
    <t>Total Current Assets</t>
  </si>
  <si>
    <t>Accounts payable and accrued expenses</t>
  </si>
  <si>
    <t>Income taxes payable, current</t>
  </si>
  <si>
    <t>Deferred revenue, current</t>
  </si>
  <si>
    <t>Operating lease liabilities, current</t>
  </si>
  <si>
    <t>Total Current Liabilities</t>
  </si>
  <si>
    <t>Net Working Capital</t>
  </si>
  <si>
    <t>Changes in Net Working Capital</t>
  </si>
  <si>
    <t>% of sales</t>
  </si>
  <si>
    <t>Capital Expenditure Schedule</t>
  </si>
  <si>
    <t>CapEx</t>
  </si>
  <si>
    <t xml:space="preserve"> % of sales</t>
  </si>
  <si>
    <t>Free Cash Flow</t>
  </si>
  <si>
    <t>% growth</t>
  </si>
  <si>
    <t>% margin</t>
  </si>
  <si>
    <t>Less: D&amp;A</t>
  </si>
  <si>
    <t>Less: SBC</t>
  </si>
  <si>
    <t xml:space="preserve">EBIT  </t>
  </si>
  <si>
    <t>Less: Interest</t>
  </si>
  <si>
    <t>Less: Other Income (Expense)</t>
  </si>
  <si>
    <t>EBT</t>
  </si>
  <si>
    <t>Taxes</t>
  </si>
  <si>
    <t>% tax rate</t>
  </si>
  <si>
    <t>FCF Build</t>
  </si>
  <si>
    <t>Less: Taxes</t>
  </si>
  <si>
    <t>Less: Capex</t>
  </si>
  <si>
    <t>Less: Change in NWC</t>
  </si>
  <si>
    <t>Cash available for discretionary debt paydown</t>
  </si>
  <si>
    <t>Debt Paydown / Debt Schedules</t>
  </si>
  <si>
    <t>Term Loan B</t>
  </si>
  <si>
    <t>Beginning Debt</t>
  </si>
  <si>
    <t>Less: Mandatory (1%)</t>
  </si>
  <si>
    <t>Less: Discretional paydown</t>
  </si>
  <si>
    <t>Ending Debt</t>
  </si>
  <si>
    <t>Est. SOFR</t>
  </si>
  <si>
    <t xml:space="preserve">Interest expense </t>
  </si>
  <si>
    <t>Revolver</t>
  </si>
  <si>
    <t xml:space="preserve">Interest rate </t>
  </si>
  <si>
    <t>Total Interest Expense</t>
  </si>
  <si>
    <t>Total Debt Paydown</t>
  </si>
  <si>
    <t>Beginning</t>
  </si>
  <si>
    <t>Paydown</t>
  </si>
  <si>
    <t>End</t>
  </si>
  <si>
    <t>Current Net Debt / EBITDA</t>
  </si>
  <si>
    <t>Exit Analysis</t>
  </si>
  <si>
    <t>Exit EBITDA</t>
  </si>
  <si>
    <t>Exit multiple</t>
  </si>
  <si>
    <t>Exit value</t>
  </si>
  <si>
    <t>Less: Debt</t>
  </si>
  <si>
    <t>Plus: Cashflows</t>
  </si>
  <si>
    <t>Purchase price</t>
  </si>
  <si>
    <t>Equity of PE Firm</t>
  </si>
  <si>
    <t>MOIC</t>
  </si>
  <si>
    <t>IRR</t>
  </si>
  <si>
    <t>Sensitivity Analysis</t>
  </si>
  <si>
    <t>IRR: Purchase premium vs. exit multiple</t>
  </si>
  <si>
    <t>IRR: SOFR vs. exit multiple</t>
  </si>
  <si>
    <t>Purchase premium</t>
  </si>
  <si>
    <t>Exit Multiple</t>
  </si>
  <si>
    <t>IRR: Revenue growth vs. exit multiple</t>
  </si>
  <si>
    <t>IRR: Credit Rating vs. exit multiple</t>
  </si>
  <si>
    <t>Revenue growth rate</t>
  </si>
  <si>
    <t>Credit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</si>
</sst>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&quot;x&quot;"/>
    <numFmt numFmtId="165" formatCode="_([$$-409]* #,##0.0_);_([$$-409]* \(#,##0.0\);_([$$-409]* &quot;-&quot;??_);_(@_)"/>
    <numFmt numFmtId="166" formatCode="_(#,##0.0%_);\(#,##0.0%\);_(&quot;–&quot;_)_%;_(@_)_%"/>
    <numFmt numFmtId="167" formatCode="_([$$-409]* #,##0.0_);_([$$-409]* \(#,##0.0\);_([$$-409]* &quot;-&quot;?_);_(@_)"/>
    <numFmt numFmtId="168" formatCode="_(* #,##0.0_);_(* \(#,##0.0\);_(* &quot;-&quot;?_);_(@_)"/>
    <numFmt numFmtId="169" formatCode="_(#,##0_)_%;\(#,##0\)_%;_(&quot;–&quot;_)_%;_(@_)_%"/>
    <numFmt numFmtId="170" formatCode="&quot;Year&quot;\ #"/>
    <numFmt numFmtId="171" formatCode="_([$$]#,##0_)_%;\([$$]#,##0\)_%;_(&quot;–&quot;_)_%;_(@_)_%"/>
    <numFmt numFmtId="172" formatCode="0\A;[Red]0\A"/>
    <numFmt numFmtId="173" formatCode="0\P_);\(0\P\)"/>
    <numFmt numFmtId="174" formatCode="&quot;$&quot;#,##0.00"/>
    <numFmt numFmtId="175" formatCode="0.0%"/>
    <numFmt numFmtId="176" formatCode="_(0.0\x_)_)_';_(\(0.0\x\)_'_';_(&quot;–&quot;_)_%;_(@_)_%"/>
    <numFmt numFmtId="177" formatCode="#,##0.0_);\(#,##0.0\)"/>
    <numFmt numFmtId="178" formatCode="0.0"/>
    <numFmt numFmtId="179" formatCode="0.0&quot;x&quot;"/>
    <numFmt numFmtId="180" formatCode="0.00%_);\(0.00%\);@_)"/>
    <numFmt numFmtId="181" formatCode="_(#,##0.00%_);\(#,##0.00%\);_(&quot;–&quot;_)_%;_(@_)_%"/>
    <numFmt numFmtId="182" formatCode="0.000%"/>
    <numFmt numFmtId="183" formatCode="0.00_);\(0.00\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indexed="9"/>
      <name val="Arial"/>
      <family val="2"/>
    </font>
    <font>
      <b/>
      <sz val="10"/>
      <color indexed="9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313B46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1F1F1F"/>
      <name val="Google Sans Text"/>
      <family val="2"/>
      <charset val="1"/>
    </font>
    <font>
      <sz val="11"/>
      <color rgb="FF1F1F1F"/>
      <name val="Google Sans Text"/>
      <family val="2"/>
      <charset val="1"/>
    </font>
    <font>
      <b/>
      <i/>
      <sz val="10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theme="1"/>
      <name val="Aptos Display"/>
    </font>
    <font>
      <b/>
      <sz val="40"/>
      <color rgb="FF005BBB"/>
      <name val="AngsanaUPC"/>
    </font>
    <font>
      <sz val="10"/>
      <color theme="1"/>
      <name val="Agency FB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5">
    <xf numFmtId="0" fontId="0" fillId="0" borderId="0"/>
    <xf numFmtId="0" fontId="5" fillId="4" borderId="5" applyNumberFormat="0" applyProtection="0">
      <alignment horizontal="left" vertical="center" readingOrder="1"/>
    </xf>
    <xf numFmtId="0" fontId="6" fillId="4" borderId="6">
      <alignment horizontal="left"/>
    </xf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/>
    <xf numFmtId="167" fontId="3" fillId="0" borderId="0" xfId="0" applyNumberFormat="1" applyFont="1"/>
    <xf numFmtId="0" fontId="4" fillId="0" borderId="0" xfId="0" applyFont="1"/>
    <xf numFmtId="171" fontId="3" fillId="0" borderId="0" xfId="0" applyNumberFormat="1" applyFont="1"/>
    <xf numFmtId="171" fontId="4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175" fontId="7" fillId="0" borderId="0" xfId="0" applyNumberFormat="1" applyFont="1"/>
    <xf numFmtId="170" fontId="7" fillId="0" borderId="0" xfId="0" applyNumberFormat="1" applyFont="1"/>
    <xf numFmtId="0" fontId="8" fillId="0" borderId="0" xfId="0" applyFont="1"/>
    <xf numFmtId="9" fontId="7" fillId="0" borderId="0" xfId="0" applyNumberFormat="1" applyFont="1"/>
    <xf numFmtId="169" fontId="7" fillId="0" borderId="0" xfId="0" applyNumberFormat="1" applyFont="1"/>
    <xf numFmtId="165" fontId="7" fillId="0" borderId="0" xfId="0" applyNumberFormat="1" applyFont="1"/>
    <xf numFmtId="166" fontId="7" fillId="0" borderId="0" xfId="0" applyNumberFormat="1" applyFont="1"/>
    <xf numFmtId="168" fontId="7" fillId="0" borderId="0" xfId="0" applyNumberFormat="1" applyFont="1"/>
    <xf numFmtId="9" fontId="12" fillId="0" borderId="0" xfId="0" applyNumberFormat="1" applyFont="1"/>
    <xf numFmtId="39" fontId="7" fillId="0" borderId="0" xfId="0" applyNumberFormat="1" applyFont="1"/>
    <xf numFmtId="167" fontId="7" fillId="0" borderId="0" xfId="0" applyNumberFormat="1" applyFont="1"/>
    <xf numFmtId="165" fontId="8" fillId="0" borderId="0" xfId="0" applyNumberFormat="1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171" fontId="7" fillId="0" borderId="0" xfId="0" applyNumberFormat="1" applyFont="1"/>
    <xf numFmtId="171" fontId="7" fillId="0" borderId="0" xfId="0" applyNumberFormat="1" applyFont="1" applyAlignment="1">
      <alignment horizontal="right"/>
    </xf>
    <xf numFmtId="178" fontId="7" fillId="0" borderId="0" xfId="0" applyNumberFormat="1" applyFont="1"/>
    <xf numFmtId="178" fontId="7" fillId="0" borderId="0" xfId="0" applyNumberFormat="1" applyFont="1" applyAlignment="1">
      <alignment horizontal="right"/>
    </xf>
    <xf numFmtId="1" fontId="7" fillId="0" borderId="0" xfId="0" applyNumberFormat="1" applyFont="1"/>
    <xf numFmtId="171" fontId="8" fillId="0" borderId="0" xfId="0" applyNumberFormat="1" applyFont="1" applyAlignment="1">
      <alignment horizontal="right"/>
    </xf>
    <xf numFmtId="178" fontId="8" fillId="0" borderId="0" xfId="0" applyNumberFormat="1" applyFont="1"/>
    <xf numFmtId="0" fontId="14" fillId="6" borderId="0" xfId="0" applyFont="1" applyFill="1"/>
    <xf numFmtId="0" fontId="15" fillId="6" borderId="0" xfId="0" applyFont="1" applyFill="1"/>
    <xf numFmtId="0" fontId="16" fillId="0" borderId="0" xfId="0" applyFont="1"/>
    <xf numFmtId="0" fontId="8" fillId="3" borderId="4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7" fillId="3" borderId="10" xfId="0" applyFont="1" applyFill="1" applyBorder="1"/>
    <xf numFmtId="0" fontId="7" fillId="0" borderId="0" xfId="0" applyFont="1" applyAlignment="1">
      <alignment horizontal="right"/>
    </xf>
    <xf numFmtId="0" fontId="7" fillId="0" borderId="8" xfId="0" applyFont="1" applyBorder="1"/>
    <xf numFmtId="0" fontId="8" fillId="3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right"/>
    </xf>
    <xf numFmtId="0" fontId="9" fillId="3" borderId="4" xfId="0" applyFont="1" applyFill="1" applyBorder="1"/>
    <xf numFmtId="0" fontId="7" fillId="3" borderId="4" xfId="0" applyFont="1" applyFill="1" applyBorder="1"/>
    <xf numFmtId="0" fontId="8" fillId="3" borderId="4" xfId="0" applyFont="1" applyFill="1" applyBorder="1"/>
    <xf numFmtId="174" fontId="11" fillId="0" borderId="0" xfId="0" applyNumberFormat="1" applyFont="1" applyAlignment="1">
      <alignment horizontal="right"/>
    </xf>
    <xf numFmtId="9" fontId="11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0" fontId="8" fillId="3" borderId="9" xfId="0" applyFont="1" applyFill="1" applyBorder="1"/>
    <xf numFmtId="0" fontId="7" fillId="3" borderId="11" xfId="0" applyFont="1" applyFill="1" applyBorder="1"/>
    <xf numFmtId="0" fontId="8" fillId="3" borderId="10" xfId="0" applyFont="1" applyFill="1" applyBorder="1"/>
    <xf numFmtId="174" fontId="8" fillId="0" borderId="0" xfId="0" applyNumberFormat="1" applyFont="1" applyAlignment="1">
      <alignment horizontal="right"/>
    </xf>
    <xf numFmtId="175" fontId="7" fillId="0" borderId="0" xfId="0" applyNumberFormat="1" applyFont="1" applyAlignment="1">
      <alignment horizontal="right"/>
    </xf>
    <xf numFmtId="174" fontId="7" fillId="0" borderId="0" xfId="0" applyNumberFormat="1" applyFont="1" applyAlignment="1">
      <alignment horizontal="right"/>
    </xf>
    <xf numFmtId="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indent="1"/>
    </xf>
    <xf numFmtId="178" fontId="11" fillId="0" borderId="0" xfId="0" applyNumberFormat="1" applyFont="1" applyAlignment="1">
      <alignment horizontal="right"/>
    </xf>
    <xf numFmtId="7" fontId="11" fillId="0" borderId="0" xfId="0" applyNumberFormat="1" applyFont="1" applyAlignment="1">
      <alignment horizontal="right"/>
    </xf>
    <xf numFmtId="0" fontId="8" fillId="3" borderId="0" xfId="0" applyFont="1" applyFill="1"/>
    <xf numFmtId="0" fontId="7" fillId="3" borderId="0" xfId="0" applyFont="1" applyFill="1"/>
    <xf numFmtId="10" fontId="7" fillId="0" borderId="0" xfId="0" applyNumberFormat="1" applyFont="1"/>
    <xf numFmtId="0" fontId="12" fillId="5" borderId="4" xfId="0" applyFont="1" applyFill="1" applyBorder="1"/>
    <xf numFmtId="0" fontId="7" fillId="5" borderId="4" xfId="0" applyFont="1" applyFill="1" applyBorder="1"/>
    <xf numFmtId="172" fontId="8" fillId="5" borderId="4" xfId="0" applyNumberFormat="1" applyFont="1" applyFill="1" applyBorder="1" applyAlignment="1">
      <alignment horizontal="right"/>
    </xf>
    <xf numFmtId="173" fontId="9" fillId="5" borderId="4" xfId="0" applyNumberFormat="1" applyFont="1" applyFill="1" applyBorder="1" applyAlignment="1">
      <alignment horizontal="right"/>
    </xf>
    <xf numFmtId="39" fontId="11" fillId="0" borderId="0" xfId="0" applyNumberFormat="1" applyFont="1" applyAlignment="1">
      <alignment horizontal="right" wrapText="1"/>
    </xf>
    <xf numFmtId="39" fontId="7" fillId="0" borderId="0" xfId="0" applyNumberFormat="1" applyFont="1" applyAlignment="1">
      <alignment horizontal="right"/>
    </xf>
    <xf numFmtId="39" fontId="11" fillId="0" borderId="0" xfId="0" applyNumberFormat="1" applyFont="1" applyAlignment="1">
      <alignment horizontal="right"/>
    </xf>
    <xf numFmtId="39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right"/>
    </xf>
    <xf numFmtId="0" fontId="8" fillId="5" borderId="4" xfId="0" applyFont="1" applyFill="1" applyBorder="1"/>
    <xf numFmtId="2" fontId="7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39" fontId="8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0" fontId="7" fillId="0" borderId="7" xfId="0" applyFont="1" applyBorder="1"/>
    <xf numFmtId="39" fontId="7" fillId="0" borderId="7" xfId="0" applyNumberFormat="1" applyFont="1" applyBorder="1"/>
    <xf numFmtId="39" fontId="8" fillId="0" borderId="7" xfId="0" applyNumberFormat="1" applyFont="1" applyBorder="1" applyAlignment="1">
      <alignment horizontal="center"/>
    </xf>
    <xf numFmtId="39" fontId="7" fillId="0" borderId="0" xfId="0" applyNumberFormat="1" applyFont="1" applyAlignment="1">
      <alignment horizontal="center"/>
    </xf>
    <xf numFmtId="0" fontId="7" fillId="0" borderId="4" xfId="0" applyFont="1" applyBorder="1"/>
    <xf numFmtId="39" fontId="7" fillId="0" borderId="4" xfId="0" applyNumberFormat="1" applyFont="1" applyBorder="1" applyAlignment="1">
      <alignment horizontal="center"/>
    </xf>
    <xf numFmtId="0" fontId="12" fillId="0" borderId="0" xfId="0" applyFont="1"/>
    <xf numFmtId="168" fontId="7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right"/>
    </xf>
    <xf numFmtId="0" fontId="8" fillId="3" borderId="7" xfId="0" applyFont="1" applyFill="1" applyBorder="1"/>
    <xf numFmtId="0" fontId="7" fillId="3" borderId="7" xfId="0" applyFont="1" applyFill="1" applyBorder="1"/>
    <xf numFmtId="165" fontId="8" fillId="3" borderId="7" xfId="0" applyNumberFormat="1" applyFont="1" applyFill="1" applyBorder="1" applyAlignment="1">
      <alignment horizontal="right"/>
    </xf>
    <xf numFmtId="39" fontId="8" fillId="3" borderId="7" xfId="0" applyNumberFormat="1" applyFont="1" applyFill="1" applyBorder="1" applyAlignment="1">
      <alignment horizontal="center"/>
    </xf>
    <xf numFmtId="14" fontId="12" fillId="5" borderId="4" xfId="0" applyNumberFormat="1" applyFont="1" applyFill="1" applyBorder="1"/>
    <xf numFmtId="167" fontId="7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3" borderId="7" xfId="0" applyNumberFormat="1" applyFont="1" applyFill="1" applyBorder="1" applyAlignment="1">
      <alignment horizontal="right"/>
    </xf>
    <xf numFmtId="37" fontId="7" fillId="0" borderId="0" xfId="0" applyNumberFormat="1" applyFont="1"/>
    <xf numFmtId="39" fontId="11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8" fillId="0" borderId="7" xfId="0" applyFont="1" applyBorder="1" applyAlignment="1">
      <alignment horizontal="left"/>
    </xf>
    <xf numFmtId="179" fontId="7" fillId="0" borderId="0" xfId="0" applyNumberFormat="1" applyFont="1" applyAlignment="1">
      <alignment horizontal="right" indent="3"/>
    </xf>
    <xf numFmtId="0" fontId="7" fillId="0" borderId="7" xfId="0" applyFont="1" applyBorder="1" applyAlignment="1">
      <alignment horizontal="center"/>
    </xf>
    <xf numFmtId="174" fontId="7" fillId="0" borderId="7" xfId="0" applyNumberFormat="1" applyFont="1" applyBorder="1" applyAlignment="1">
      <alignment horizontal="center"/>
    </xf>
    <xf numFmtId="7" fontId="7" fillId="0" borderId="7" xfId="0" applyNumberFormat="1" applyFont="1" applyBorder="1" applyAlignment="1">
      <alignment horizontal="center"/>
    </xf>
    <xf numFmtId="183" fontId="7" fillId="0" borderId="0" xfId="0" applyNumberFormat="1" applyFont="1" applyAlignment="1">
      <alignment horizontal="center"/>
    </xf>
    <xf numFmtId="7" fontId="8" fillId="3" borderId="7" xfId="0" applyNumberFormat="1" applyFont="1" applyFill="1" applyBorder="1" applyAlignment="1">
      <alignment horizontal="center"/>
    </xf>
    <xf numFmtId="174" fontId="8" fillId="3" borderId="7" xfId="0" applyNumberFormat="1" applyFont="1" applyFill="1" applyBorder="1" applyAlignment="1">
      <alignment horizontal="center"/>
    </xf>
    <xf numFmtId="9" fontId="8" fillId="0" borderId="0" xfId="0" applyNumberFormat="1" applyFont="1"/>
    <xf numFmtId="176" fontId="8" fillId="0" borderId="0" xfId="0" applyNumberFormat="1" applyFont="1" applyAlignment="1">
      <alignment horizontal="left"/>
    </xf>
    <xf numFmtId="176" fontId="8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right" indent="2"/>
    </xf>
    <xf numFmtId="180" fontId="8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0" fontId="12" fillId="0" borderId="0" xfId="0" applyNumberFormat="1" applyFont="1" applyAlignment="1">
      <alignment horizontal="center"/>
    </xf>
    <xf numFmtId="4" fontId="11" fillId="0" borderId="0" xfId="0" applyNumberFormat="1" applyFont="1"/>
    <xf numFmtId="4" fontId="7" fillId="0" borderId="0" xfId="0" applyNumberFormat="1" applyFont="1"/>
    <xf numFmtId="4" fontId="9" fillId="0" borderId="0" xfId="0" applyNumberFormat="1" applyFont="1"/>
    <xf numFmtId="4" fontId="8" fillId="0" borderId="0" xfId="0" applyNumberFormat="1" applyFont="1"/>
    <xf numFmtId="0" fontId="8" fillId="0" borderId="0" xfId="0" applyFont="1" applyAlignment="1">
      <alignment horizontal="left"/>
    </xf>
    <xf numFmtId="180" fontId="12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left"/>
    </xf>
    <xf numFmtId="180" fontId="8" fillId="0" borderId="0" xfId="0" applyNumberFormat="1" applyFont="1"/>
    <xf numFmtId="0" fontId="8" fillId="0" borderId="0" xfId="0" applyFont="1" applyAlignment="1">
      <alignment horizontal="center" vertical="center" textRotation="90" wrapText="1"/>
    </xf>
    <xf numFmtId="181" fontId="7" fillId="0" borderId="0" xfId="0" applyNumberFormat="1" applyFont="1"/>
    <xf numFmtId="181" fontId="7" fillId="2" borderId="0" xfId="0" applyNumberFormat="1" applyFont="1" applyFill="1"/>
    <xf numFmtId="182" fontId="4" fillId="0" borderId="0" xfId="0" applyNumberFormat="1" applyFont="1"/>
    <xf numFmtId="183" fontId="7" fillId="2" borderId="13" xfId="0" applyNumberFormat="1" applyFont="1" applyFill="1" applyBorder="1" applyAlignment="1">
      <alignment horizontal="center"/>
    </xf>
    <xf numFmtId="43" fontId="7" fillId="0" borderId="0" xfId="0" applyNumberFormat="1" applyFont="1" applyAlignment="1">
      <alignment horizontal="center"/>
    </xf>
    <xf numFmtId="43" fontId="7" fillId="0" borderId="0" xfId="0" applyNumberFormat="1" applyFont="1" applyAlignment="1">
      <alignment horizontal="center" indent="1"/>
    </xf>
    <xf numFmtId="44" fontId="8" fillId="3" borderId="7" xfId="0" applyNumberFormat="1" applyFont="1" applyFill="1" applyBorder="1" applyAlignment="1">
      <alignment horizontal="right"/>
    </xf>
    <xf numFmtId="178" fontId="7" fillId="0" borderId="0" xfId="0" applyNumberFormat="1" applyFont="1" applyAlignment="1">
      <alignment horizontal="center"/>
    </xf>
    <xf numFmtId="0" fontId="18" fillId="0" borderId="0" xfId="0" applyFont="1" applyAlignment="1">
      <alignment readingOrder="1"/>
    </xf>
    <xf numFmtId="0" fontId="19" fillId="0" borderId="0" xfId="0" applyFont="1" applyAlignment="1">
      <alignment readingOrder="1"/>
    </xf>
    <xf numFmtId="8" fontId="19" fillId="0" borderId="0" xfId="0" applyNumberFormat="1" applyFont="1" applyAlignment="1">
      <alignment readingOrder="1"/>
    </xf>
    <xf numFmtId="8" fontId="18" fillId="0" borderId="0" xfId="0" applyNumberFormat="1" applyFont="1" applyAlignment="1">
      <alignment readingOrder="1"/>
    </xf>
    <xf numFmtId="0" fontId="7" fillId="5" borderId="0" xfId="0" applyFont="1" applyFill="1"/>
    <xf numFmtId="0" fontId="8" fillId="5" borderId="0" xfId="0" applyFont="1" applyFill="1"/>
    <xf numFmtId="0" fontId="12" fillId="5" borderId="4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8" fillId="3" borderId="7" xfId="0" applyFont="1" applyFill="1" applyBorder="1" applyAlignment="1">
      <alignment horizontal="left"/>
    </xf>
    <xf numFmtId="10" fontId="8" fillId="0" borderId="0" xfId="0" applyNumberFormat="1" applyFont="1"/>
    <xf numFmtId="9" fontId="7" fillId="0" borderId="4" xfId="3" applyFont="1" applyBorder="1" applyAlignment="1">
      <alignment horizontal="center"/>
    </xf>
    <xf numFmtId="169" fontId="11" fillId="2" borderId="12" xfId="0" applyNumberFormat="1" applyFont="1" applyFill="1" applyBorder="1" applyAlignment="1">
      <alignment horizontal="center"/>
    </xf>
    <xf numFmtId="0" fontId="7" fillId="0" borderId="14" xfId="0" applyFont="1" applyBorder="1"/>
    <xf numFmtId="10" fontId="7" fillId="2" borderId="15" xfId="0" applyNumberFormat="1" applyFont="1" applyFill="1" applyBorder="1" applyAlignment="1">
      <alignment horizontal="center"/>
    </xf>
    <xf numFmtId="10" fontId="7" fillId="0" borderId="4" xfId="0" applyNumberFormat="1" applyFont="1" applyBorder="1" applyAlignment="1">
      <alignment horizontal="center"/>
    </xf>
    <xf numFmtId="0" fontId="1" fillId="0" borderId="0" xfId="0" applyFont="1"/>
    <xf numFmtId="164" fontId="8" fillId="5" borderId="0" xfId="0" applyNumberFormat="1" applyFont="1" applyFill="1" applyAlignment="1">
      <alignment horizontal="center"/>
    </xf>
    <xf numFmtId="178" fontId="7" fillId="5" borderId="0" xfId="0" applyNumberFormat="1" applyFont="1" applyFill="1" applyAlignment="1">
      <alignment horizontal="center"/>
    </xf>
    <xf numFmtId="0" fontId="21" fillId="0" borderId="0" xfId="0" applyFont="1" applyAlignment="1">
      <alignment readingOrder="1"/>
    </xf>
    <xf numFmtId="39" fontId="21" fillId="0" borderId="0" xfId="0" applyNumberFormat="1" applyFont="1" applyAlignment="1">
      <alignment readingOrder="1"/>
    </xf>
    <xf numFmtId="178" fontId="21" fillId="0" borderId="0" xfId="0" applyNumberFormat="1" applyFont="1" applyAlignment="1">
      <alignment readingOrder="1"/>
    </xf>
    <xf numFmtId="174" fontId="21" fillId="0" borderId="0" xfId="0" applyNumberFormat="1" applyFont="1" applyAlignment="1">
      <alignment readingOrder="1"/>
    </xf>
    <xf numFmtId="179" fontId="21" fillId="0" borderId="0" xfId="0" applyNumberFormat="1" applyFont="1" applyAlignment="1">
      <alignment readingOrder="1"/>
    </xf>
    <xf numFmtId="10" fontId="21" fillId="0" borderId="0" xfId="0" applyNumberFormat="1" applyFont="1" applyAlignment="1">
      <alignment readingOrder="1"/>
    </xf>
    <xf numFmtId="164" fontId="8" fillId="0" borderId="0" xfId="0" applyNumberFormat="1" applyFont="1" applyAlignment="1">
      <alignment horizontal="left"/>
    </xf>
    <xf numFmtId="174" fontId="7" fillId="0" borderId="0" xfId="0" applyNumberFormat="1" applyFont="1" applyAlignment="1">
      <alignment horizontal="center" indent="1"/>
    </xf>
    <xf numFmtId="10" fontId="21" fillId="0" borderId="0" xfId="0" applyNumberFormat="1" applyFont="1" applyAlignment="1">
      <alignment horizontal="center" readingOrder="1"/>
    </xf>
    <xf numFmtId="0" fontId="22" fillId="0" borderId="16" xfId="0" applyFont="1" applyBorder="1" applyAlignment="1">
      <alignment readingOrder="1"/>
    </xf>
    <xf numFmtId="0" fontId="8" fillId="0" borderId="16" xfId="0" applyFont="1" applyBorder="1"/>
    <xf numFmtId="10" fontId="8" fillId="0" borderId="16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3" fontId="8" fillId="3" borderId="0" xfId="0" applyNumberFormat="1" applyFont="1" applyFill="1" applyAlignment="1">
      <alignment horizontal="center" indent="1"/>
    </xf>
    <xf numFmtId="17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0" fontId="7" fillId="2" borderId="13" xfId="0" applyNumberFormat="1" applyFont="1" applyFill="1" applyBorder="1" applyAlignment="1">
      <alignment horizontal="center"/>
    </xf>
    <xf numFmtId="181" fontId="8" fillId="0" borderId="0" xfId="0" applyNumberFormat="1" applyFont="1"/>
    <xf numFmtId="179" fontId="9" fillId="0" borderId="0" xfId="0" applyNumberFormat="1" applyFont="1"/>
    <xf numFmtId="179" fontId="8" fillId="0" borderId="0" xfId="0" applyNumberFormat="1" applyFont="1"/>
    <xf numFmtId="0" fontId="8" fillId="0" borderId="16" xfId="0" applyFont="1" applyBorder="1" applyAlignment="1">
      <alignment horizontal="center"/>
    </xf>
    <xf numFmtId="179" fontId="8" fillId="0" borderId="0" xfId="0" applyNumberFormat="1" applyFont="1" applyAlignment="1">
      <alignment horizontal="right"/>
    </xf>
    <xf numFmtId="43" fontId="11" fillId="0" borderId="0" xfId="0" applyNumberFormat="1" applyFont="1" applyAlignment="1">
      <alignment horizontal="center" indent="1"/>
    </xf>
    <xf numFmtId="43" fontId="8" fillId="0" borderId="0" xfId="0" applyNumberFormat="1" applyFont="1" applyAlignment="1">
      <alignment horizontal="center" indent="1"/>
    </xf>
    <xf numFmtId="37" fontId="8" fillId="0" borderId="7" xfId="0" applyNumberFormat="1" applyFont="1" applyBorder="1"/>
    <xf numFmtId="43" fontId="7" fillId="0" borderId="7" xfId="0" applyNumberFormat="1" applyFont="1" applyBorder="1" applyAlignment="1">
      <alignment horizontal="center" indent="1"/>
    </xf>
    <xf numFmtId="43" fontId="8" fillId="0" borderId="7" xfId="0" applyNumberFormat="1" applyFont="1" applyBorder="1" applyAlignment="1">
      <alignment horizontal="center" indent="1"/>
    </xf>
    <xf numFmtId="37" fontId="8" fillId="0" borderId="0" xfId="0" applyNumberFormat="1" applyFont="1"/>
    <xf numFmtId="0" fontId="8" fillId="0" borderId="9" xfId="0" applyFont="1" applyBorder="1"/>
    <xf numFmtId="0" fontId="7" fillId="0" borderId="10" xfId="0" applyFont="1" applyBorder="1"/>
    <xf numFmtId="0" fontId="8" fillId="0" borderId="10" xfId="0" applyFont="1" applyBorder="1"/>
    <xf numFmtId="0" fontId="8" fillId="3" borderId="4" xfId="0" applyFont="1" applyFill="1" applyBorder="1" applyAlignment="1">
      <alignment horizontal="left"/>
    </xf>
    <xf numFmtId="0" fontId="7" fillId="5" borderId="0" xfId="0" applyFont="1" applyFill="1" applyAlignment="1">
      <alignment horizontal="center"/>
    </xf>
    <xf numFmtId="174" fontId="7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174" fontId="8" fillId="5" borderId="0" xfId="0" applyNumberFormat="1" applyFont="1" applyFill="1" applyAlignment="1">
      <alignment horizontal="center"/>
    </xf>
    <xf numFmtId="174" fontId="8" fillId="0" borderId="11" xfId="0" applyNumberFormat="1" applyFont="1" applyBorder="1" applyAlignment="1">
      <alignment horizontal="center"/>
    </xf>
    <xf numFmtId="174" fontId="10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right"/>
    </xf>
    <xf numFmtId="181" fontId="7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3" fontId="7" fillId="0" borderId="0" xfId="4" applyFont="1"/>
    <xf numFmtId="10" fontId="7" fillId="0" borderId="1" xfId="0" applyNumberFormat="1" applyFont="1" applyBorder="1"/>
    <xf numFmtId="164" fontId="8" fillId="0" borderId="0" xfId="0" applyNumberFormat="1" applyFont="1" applyAlignment="1">
      <alignment horizontal="right"/>
    </xf>
    <xf numFmtId="39" fontId="9" fillId="3" borderId="7" xfId="0" applyNumberFormat="1" applyFont="1" applyFill="1" applyBorder="1" applyAlignment="1">
      <alignment horizontal="right"/>
    </xf>
    <xf numFmtId="181" fontId="7" fillId="0" borderId="2" xfId="0" applyNumberFormat="1" applyFont="1" applyBorder="1"/>
    <xf numFmtId="181" fontId="7" fillId="0" borderId="17" xfId="0" applyNumberFormat="1" applyFont="1" applyBorder="1"/>
    <xf numFmtId="181" fontId="7" fillId="0" borderId="3" xfId="0" applyNumberFormat="1" applyFont="1" applyBorder="1"/>
    <xf numFmtId="181" fontId="7" fillId="0" borderId="7" xfId="0" applyNumberFormat="1" applyFont="1" applyBorder="1"/>
    <xf numFmtId="181" fontId="7" fillId="0" borderId="18" xfId="0" applyNumberFormat="1" applyFont="1" applyBorder="1"/>
    <xf numFmtId="181" fontId="7" fillId="0" borderId="19" xfId="0" applyNumberFormat="1" applyFont="1" applyBorder="1"/>
    <xf numFmtId="2" fontId="7" fillId="0" borderId="0" xfId="0" applyNumberFormat="1" applyFont="1"/>
    <xf numFmtId="0" fontId="7" fillId="0" borderId="0" xfId="0" applyFont="1" applyAlignment="1">
      <alignment vertical="center"/>
    </xf>
    <xf numFmtId="0" fontId="9" fillId="0" borderId="14" xfId="0" applyFont="1" applyBorder="1"/>
    <xf numFmtId="0" fontId="23" fillId="0" borderId="0" xfId="0" applyFont="1"/>
    <xf numFmtId="0" fontId="25" fillId="0" borderId="0" xfId="0" applyFont="1"/>
    <xf numFmtId="43" fontId="7" fillId="0" borderId="0" xfId="0" applyNumberFormat="1" applyFont="1"/>
    <xf numFmtId="179" fontId="10" fillId="0" borderId="0" xfId="0" applyNumberFormat="1" applyFont="1" applyAlignment="1">
      <alignment horizontal="right"/>
    </xf>
    <xf numFmtId="170" fontId="10" fillId="0" borderId="0" xfId="0" applyNumberFormat="1" applyFont="1" applyAlignment="1">
      <alignment horizontal="right"/>
    </xf>
    <xf numFmtId="0" fontId="8" fillId="0" borderId="8" xfId="0" applyFont="1" applyBorder="1" applyAlignment="1">
      <alignment horizontal="left"/>
    </xf>
    <xf numFmtId="0" fontId="21" fillId="0" borderId="0" xfId="0" applyFont="1" applyAlignment="1">
      <alignment horizontal="left" readingOrder="1"/>
    </xf>
    <xf numFmtId="10" fontId="8" fillId="3" borderId="7" xfId="0" applyNumberFormat="1" applyFont="1" applyFill="1" applyBorder="1" applyAlignment="1">
      <alignment horizontal="center"/>
    </xf>
    <xf numFmtId="174" fontId="8" fillId="3" borderId="7" xfId="0" applyNumberFormat="1" applyFont="1" applyFill="1" applyBorder="1" applyAlignment="1">
      <alignment horizontal="right"/>
    </xf>
    <xf numFmtId="174" fontId="8" fillId="0" borderId="10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20" fillId="3" borderId="14" xfId="0" applyFont="1" applyFill="1" applyBorder="1" applyAlignment="1">
      <alignment horizontal="left" wrapText="1" indent="1"/>
    </xf>
    <xf numFmtId="175" fontId="20" fillId="3" borderId="14" xfId="0" applyNumberFormat="1" applyFont="1" applyFill="1" applyBorder="1" applyAlignment="1">
      <alignment horizontal="right"/>
    </xf>
    <xf numFmtId="0" fontId="8" fillId="0" borderId="0" xfId="0" applyFont="1" applyAlignment="1">
      <alignment horizontal="right" vertical="center" textRotation="90"/>
    </xf>
    <xf numFmtId="0" fontId="24" fillId="0" borderId="2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</cellXfs>
  <cellStyles count="5">
    <cellStyle name="blp_title_header_row_left" xfId="1" xr:uid="{16393211-0824-465A-857C-344171E21639}"/>
    <cellStyle name="Comma" xfId="4" builtinId="3"/>
    <cellStyle name="fa_column_header_bottom_left" xfId="2" xr:uid="{7E7B0469-EB72-49C0-91D5-66C9811587E3}"/>
    <cellStyle name="Normal" xfId="0" builtinId="0"/>
    <cellStyle name="Percent" xfId="3" builtinId="5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Medium9"/>
  <colors>
    <mruColors>
      <color rgb="FF0000FF"/>
      <color rgb="FF005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73"/>
  <sheetViews>
    <sheetView showGridLines="0" tabSelected="1" topLeftCell="A152" zoomScale="112" zoomScaleNormal="160" workbookViewId="0">
      <selection activeCell="I181" sqref="I181:I185"/>
    </sheetView>
  </sheetViews>
  <sheetFormatPr defaultColWidth="10" defaultRowHeight="12.75"/>
  <cols>
    <col min="1" max="1" width="2.7109375" style="6" customWidth="1"/>
    <col min="2" max="2" width="26.85546875" style="7" customWidth="1"/>
    <col min="3" max="3" width="10.42578125" style="7" bestFit="1" customWidth="1"/>
    <col min="4" max="6" width="10.140625" style="7" bestFit="1" customWidth="1"/>
    <col min="7" max="8" width="10.85546875" style="7" bestFit="1" customWidth="1"/>
    <col min="9" max="9" width="11.140625" style="7" bestFit="1" customWidth="1"/>
    <col min="10" max="10" width="12.42578125" style="7" bestFit="1" customWidth="1"/>
    <col min="11" max="13" width="10.140625" style="7" bestFit="1" customWidth="1"/>
    <col min="14" max="14" width="10.85546875" style="7" customWidth="1"/>
    <col min="15" max="15" width="11.140625" style="7" bestFit="1" customWidth="1"/>
    <col min="16" max="16384" width="10" style="7"/>
  </cols>
  <sheetData>
    <row r="1" spans="1:32" ht="13.5" customHeight="1">
      <c r="A1" s="21"/>
      <c r="O1" s="8"/>
    </row>
    <row r="2" spans="1:32" ht="13.5" customHeight="1">
      <c r="B2" s="20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32" ht="13.5" customHeight="1">
      <c r="B3" s="218" t="s">
        <v>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</row>
    <row r="4" spans="1:32" ht="13.5" customHeight="1"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</row>
    <row r="5" spans="1:32" ht="13.5" customHeight="1"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</row>
    <row r="6" spans="1:32" ht="13.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</row>
    <row r="7" spans="1:32" ht="13.5" customHeight="1"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32" ht="13.5" customHeight="1"/>
    <row r="9" spans="1:32" ht="13.5" customHeight="1">
      <c r="B9" s="179" t="s">
        <v>3</v>
      </c>
      <c r="C9" s="34" t="s">
        <v>4</v>
      </c>
      <c r="D9" s="34" t="s">
        <v>5</v>
      </c>
      <c r="E9" s="34" t="s">
        <v>6</v>
      </c>
      <c r="F9" s="34" t="s">
        <v>7</v>
      </c>
      <c r="G9" s="34" t="s">
        <v>8</v>
      </c>
      <c r="H9" s="34" t="s">
        <v>9</v>
      </c>
      <c r="I9" s="35" t="s">
        <v>10</v>
      </c>
      <c r="J9" s="35" t="s">
        <v>11</v>
      </c>
      <c r="K9" s="35" t="s">
        <v>12</v>
      </c>
      <c r="M9" s="39" t="s">
        <v>13</v>
      </c>
      <c r="N9" s="40"/>
      <c r="O9" s="41"/>
      <c r="S9" s="203"/>
    </row>
    <row r="10" spans="1:32" ht="13.5" customHeight="1">
      <c r="C10" s="6"/>
      <c r="D10" s="6"/>
      <c r="E10" s="6"/>
      <c r="F10" s="6"/>
      <c r="G10" s="6"/>
      <c r="H10" s="6"/>
      <c r="I10" s="6"/>
      <c r="J10" s="6"/>
      <c r="K10" s="6"/>
      <c r="Q10" s="26"/>
      <c r="R10" s="26"/>
    </row>
    <row r="11" spans="1:32" ht="13.5" customHeight="1">
      <c r="B11" s="7" t="s">
        <v>14</v>
      </c>
      <c r="C11" s="6" t="s">
        <v>15</v>
      </c>
      <c r="D11" s="162">
        <v>685</v>
      </c>
      <c r="E11" s="162">
        <v>448</v>
      </c>
      <c r="F11" s="162">
        <v>64.900000000000006</v>
      </c>
      <c r="G11" s="162">
        <v>37</v>
      </c>
      <c r="H11" s="162">
        <v>26.4</v>
      </c>
      <c r="I11" s="129" t="s">
        <v>16</v>
      </c>
      <c r="J11" s="129" t="s">
        <v>17</v>
      </c>
      <c r="K11" s="129" t="s">
        <v>18</v>
      </c>
      <c r="M11" s="7" t="s">
        <v>19</v>
      </c>
      <c r="O11" s="206">
        <v>5</v>
      </c>
      <c r="Q11" s="26"/>
      <c r="AD11" s="10"/>
      <c r="AE11" s="10"/>
      <c r="AF11" s="10"/>
    </row>
    <row r="12" spans="1:32" ht="13.5" customHeight="1">
      <c r="B12" s="134" t="s">
        <v>20</v>
      </c>
      <c r="C12" s="180" t="s">
        <v>21</v>
      </c>
      <c r="D12" s="181">
        <v>607.20000000000005</v>
      </c>
      <c r="E12" s="181">
        <v>187</v>
      </c>
      <c r="F12" s="181">
        <v>54.2</v>
      </c>
      <c r="G12" s="181">
        <v>21.8</v>
      </c>
      <c r="H12" s="181">
        <v>12.4</v>
      </c>
      <c r="I12" s="147" t="s">
        <v>22</v>
      </c>
      <c r="J12" s="147" t="s">
        <v>23</v>
      </c>
      <c r="K12" s="147" t="s">
        <v>24</v>
      </c>
      <c r="M12" s="7" t="s">
        <v>25</v>
      </c>
      <c r="O12" s="207">
        <v>6</v>
      </c>
      <c r="Q12" s="26"/>
      <c r="AD12" s="11"/>
      <c r="AE12" s="11"/>
      <c r="AF12" s="11"/>
    </row>
    <row r="13" spans="1:32" ht="13.5" customHeight="1">
      <c r="B13" s="7" t="s">
        <v>26</v>
      </c>
      <c r="C13" s="6" t="s">
        <v>27</v>
      </c>
      <c r="D13" s="162">
        <v>565.9</v>
      </c>
      <c r="E13" s="162">
        <v>102</v>
      </c>
      <c r="F13" s="162">
        <v>35</v>
      </c>
      <c r="G13" s="162">
        <v>16</v>
      </c>
      <c r="H13" s="162">
        <v>13</v>
      </c>
      <c r="I13" s="129" t="s">
        <v>28</v>
      </c>
      <c r="J13" s="129" t="s">
        <v>29</v>
      </c>
      <c r="K13" s="129" t="s">
        <v>30</v>
      </c>
      <c r="Q13" s="26"/>
      <c r="R13" s="204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"/>
      <c r="AF13" s="13"/>
    </row>
    <row r="14" spans="1:32" ht="13.5" customHeight="1">
      <c r="B14" s="135" t="s">
        <v>31</v>
      </c>
      <c r="C14" s="182" t="s">
        <v>32</v>
      </c>
      <c r="D14" s="183">
        <f>O17*O21</f>
        <v>513.23503200000005</v>
      </c>
      <c r="E14" s="183">
        <f>H32</f>
        <v>349.69600000000003</v>
      </c>
      <c r="F14" s="183">
        <f>H49</f>
        <v>186.66500000000005</v>
      </c>
      <c r="G14" s="183">
        <f>H38</f>
        <v>150.23900000000003</v>
      </c>
      <c r="H14" s="183">
        <f>H45</f>
        <v>84.527000000000044</v>
      </c>
      <c r="I14" s="146">
        <f>$O$25/H32</f>
        <v>2.9789732567715959</v>
      </c>
      <c r="J14" s="146">
        <f>$O$25/H49</f>
        <v>5.5807732140465527</v>
      </c>
      <c r="K14" s="146">
        <f>D14/H14</f>
        <v>6.0718472440758546</v>
      </c>
      <c r="U14" s="130"/>
      <c r="V14" s="131"/>
      <c r="W14" s="132"/>
      <c r="X14" s="132"/>
      <c r="Y14" s="132"/>
      <c r="Z14" s="132"/>
      <c r="AA14" s="132"/>
      <c r="AB14" s="131"/>
      <c r="AC14" s="131"/>
      <c r="AD14" s="131"/>
      <c r="AE14" s="11"/>
      <c r="AF14" s="11"/>
    </row>
    <row r="15" spans="1:32" ht="13.5" customHeight="1">
      <c r="B15" s="7" t="s">
        <v>33</v>
      </c>
      <c r="C15" s="6" t="s">
        <v>34</v>
      </c>
      <c r="D15" s="162">
        <v>412.3</v>
      </c>
      <c r="E15" s="162">
        <v>137.4</v>
      </c>
      <c r="F15" s="162">
        <v>28</v>
      </c>
      <c r="G15" s="162">
        <v>15</v>
      </c>
      <c r="H15" s="162">
        <v>5</v>
      </c>
      <c r="I15" s="129" t="s">
        <v>35</v>
      </c>
      <c r="J15" s="129" t="s">
        <v>36</v>
      </c>
      <c r="K15" s="129" t="s">
        <v>37</v>
      </c>
      <c r="M15" s="42" t="s">
        <v>38</v>
      </c>
      <c r="N15" s="43"/>
      <c r="O15" s="43"/>
      <c r="U15" s="130"/>
      <c r="V15" s="131"/>
      <c r="W15" s="132"/>
      <c r="X15" s="132"/>
      <c r="Y15" s="132"/>
      <c r="Z15" s="132"/>
      <c r="AA15" s="132"/>
      <c r="AB15" s="131"/>
      <c r="AC15" s="131"/>
      <c r="AD15" s="131"/>
      <c r="AE15" s="14"/>
      <c r="AF15" s="14"/>
    </row>
    <row r="16" spans="1:32" ht="13.5" customHeight="1">
      <c r="U16" s="130"/>
      <c r="V16" s="131"/>
      <c r="W16" s="132"/>
      <c r="X16" s="132"/>
      <c r="Y16" s="132"/>
      <c r="Z16" s="132"/>
      <c r="AA16" s="132"/>
      <c r="AB16" s="131"/>
      <c r="AC16" s="131"/>
      <c r="AD16" s="131"/>
      <c r="AE16" s="15"/>
      <c r="AF16" s="15"/>
    </row>
    <row r="17" spans="1:42" ht="13.5" customHeight="1">
      <c r="B17" s="44" t="s">
        <v>39</v>
      </c>
      <c r="C17" s="43"/>
      <c r="D17" s="48" t="s">
        <v>40</v>
      </c>
      <c r="E17" s="49"/>
      <c r="F17" s="50" t="s">
        <v>41</v>
      </c>
      <c r="G17" s="36"/>
      <c r="H17" s="49"/>
      <c r="I17" s="48" t="s">
        <v>42</v>
      </c>
      <c r="J17" s="36"/>
      <c r="K17" s="49"/>
      <c r="M17" s="7" t="s">
        <v>43</v>
      </c>
      <c r="O17" s="45">
        <v>27.2</v>
      </c>
      <c r="U17" s="130"/>
      <c r="V17" s="130"/>
      <c r="W17" s="133"/>
      <c r="X17" s="133"/>
      <c r="Y17" s="133"/>
      <c r="Z17" s="133"/>
      <c r="AA17" s="133"/>
      <c r="AB17" s="130"/>
      <c r="AC17" s="130"/>
      <c r="AD17" s="130"/>
      <c r="AE17" s="16"/>
      <c r="AF17" s="16"/>
    </row>
    <row r="18" spans="1:42" ht="13.5" customHeight="1">
      <c r="E18" s="6"/>
      <c r="K18" s="6"/>
      <c r="M18" s="7" t="s">
        <v>44</v>
      </c>
      <c r="O18" s="46">
        <v>0.2</v>
      </c>
      <c r="P18"/>
      <c r="U18" s="130"/>
      <c r="V18" s="131"/>
      <c r="W18" s="132"/>
      <c r="X18" s="132"/>
      <c r="Y18" s="132"/>
      <c r="Z18" s="132"/>
      <c r="AA18" s="132"/>
      <c r="AB18" s="131"/>
      <c r="AC18" s="131"/>
      <c r="AD18" s="131"/>
      <c r="AE18" s="17"/>
      <c r="AF18" s="17"/>
    </row>
    <row r="19" spans="1:42" ht="13.5" customHeight="1">
      <c r="B19" s="7" t="s">
        <v>45</v>
      </c>
      <c r="C19" s="47">
        <v>48579</v>
      </c>
      <c r="D19" s="7" t="s">
        <v>46</v>
      </c>
      <c r="E19" s="185">
        <f>H22*C23</f>
        <v>382.23060133535995</v>
      </c>
      <c r="F19" s="7" t="s">
        <v>47</v>
      </c>
      <c r="H19" s="162">
        <f>O22</f>
        <v>615.88203840000006</v>
      </c>
      <c r="I19" s="70" t="s">
        <v>48</v>
      </c>
      <c r="K19" s="162">
        <f>O23+E19</f>
        <v>944.23060133536001</v>
      </c>
      <c r="M19" s="11" t="s">
        <v>49</v>
      </c>
      <c r="O19" s="51">
        <f>O17*(1+O18)</f>
        <v>32.64</v>
      </c>
      <c r="U19" s="130"/>
      <c r="V19" s="131"/>
      <c r="W19" s="132"/>
      <c r="X19" s="132"/>
      <c r="Y19" s="132"/>
      <c r="Z19" s="132"/>
      <c r="AA19" s="132"/>
      <c r="AB19" s="131"/>
      <c r="AC19" s="131"/>
      <c r="AD19" s="131"/>
      <c r="AE19" s="16"/>
      <c r="AF19" s="16"/>
    </row>
    <row r="20" spans="1:42" ht="13.5" customHeight="1">
      <c r="A20" s="22"/>
      <c r="B20" s="7" t="s">
        <v>50</v>
      </c>
      <c r="C20" s="141">
        <v>1</v>
      </c>
      <c r="D20" s="7" t="s">
        <v>51</v>
      </c>
      <c r="E20" s="185">
        <f>H22*C24</f>
        <v>254.82040089023999</v>
      </c>
      <c r="F20" s="7" t="s">
        <v>52</v>
      </c>
      <c r="H20" s="74">
        <f>C21*O25</f>
        <v>15.626025480000001</v>
      </c>
      <c r="I20" s="70" t="s">
        <v>53</v>
      </c>
      <c r="K20" s="163">
        <f>(O23+E19)/AVERAGE(H49:I49)</f>
        <v>5.1025164130448744</v>
      </c>
      <c r="O20" s="37"/>
      <c r="AD20" s="18"/>
      <c r="AE20" s="18"/>
      <c r="AF20" s="18"/>
    </row>
    <row r="21" spans="1:42" ht="13.5" customHeight="1">
      <c r="B21" s="7" t="s">
        <v>52</v>
      </c>
      <c r="C21" s="52">
        <v>1.4999999999999999E-2</v>
      </c>
      <c r="E21" s="6"/>
      <c r="F21" s="7" t="s">
        <v>54</v>
      </c>
      <c r="H21" s="74">
        <f>C22*(O22*C23)</f>
        <v>5.5429383456000005</v>
      </c>
      <c r="M21" s="7" t="s">
        <v>55</v>
      </c>
      <c r="O21" s="113">
        <v>18.868935</v>
      </c>
      <c r="AD21" s="16"/>
      <c r="AE21" s="16"/>
      <c r="AF21" s="16"/>
    </row>
    <row r="22" spans="1:42" ht="13.5" customHeight="1">
      <c r="B22" s="7" t="s">
        <v>54</v>
      </c>
      <c r="C22" s="52">
        <v>1.4999999999999999E-2</v>
      </c>
      <c r="D22" s="176" t="s">
        <v>56</v>
      </c>
      <c r="E22" s="184">
        <f>SUM(E19:E20)</f>
        <v>637.05100222559997</v>
      </c>
      <c r="F22" s="178" t="s">
        <v>56</v>
      </c>
      <c r="G22" s="177"/>
      <c r="H22" s="212">
        <f>SUM(H19:H21)</f>
        <v>637.05100222559997</v>
      </c>
      <c r="I22" s="214" t="s">
        <v>57</v>
      </c>
      <c r="J22" s="142"/>
      <c r="K22" s="213" t="s">
        <v>58</v>
      </c>
      <c r="M22" s="7" t="s">
        <v>47</v>
      </c>
      <c r="O22" s="53">
        <f>O21*O19</f>
        <v>615.88203840000006</v>
      </c>
      <c r="AD22" s="16"/>
      <c r="AE22" s="16"/>
      <c r="AF22" s="16"/>
    </row>
    <row r="23" spans="1:42" ht="13.5" customHeight="1">
      <c r="B23" s="7" t="s">
        <v>59</v>
      </c>
      <c r="C23" s="54">
        <f>1-C24</f>
        <v>0.6</v>
      </c>
      <c r="I23" s="70" t="s">
        <v>60</v>
      </c>
      <c r="K23" s="97">
        <v>3.6499999999999998E-2</v>
      </c>
      <c r="M23" s="55" t="s">
        <v>61</v>
      </c>
      <c r="O23" s="56">
        <v>562</v>
      </c>
      <c r="AD23" s="16"/>
      <c r="AE23" s="16"/>
      <c r="AF23" s="16"/>
    </row>
    <row r="24" spans="1:42" ht="13.5" customHeight="1">
      <c r="B24" s="7" t="s">
        <v>51</v>
      </c>
      <c r="C24" s="54">
        <v>0.4</v>
      </c>
      <c r="I24" s="209" t="s">
        <v>62</v>
      </c>
      <c r="K24" s="156">
        <v>4.7500000000000001E-2</v>
      </c>
      <c r="M24" s="55" t="s">
        <v>63</v>
      </c>
      <c r="O24" s="57">
        <v>-33.5</v>
      </c>
      <c r="AD24" s="16"/>
      <c r="AE24" s="16"/>
      <c r="AF24" s="16"/>
    </row>
    <row r="25" spans="1:42" ht="13.5" customHeight="1">
      <c r="B25" s="7" t="s">
        <v>64</v>
      </c>
      <c r="C25" s="12">
        <f>E20/(E19+O23)</f>
        <v>0.26987094098609504</v>
      </c>
      <c r="F25" s="215" t="s">
        <v>65</v>
      </c>
      <c r="G25" s="216">
        <f>_xlfn.RRI(O30-I30,I32,O32)</f>
        <v>4.5219167002663152E-2</v>
      </c>
      <c r="I25" s="138" t="s">
        <v>66</v>
      </c>
      <c r="J25" s="88"/>
      <c r="K25" s="210">
        <f>SUM(K23:K24)</f>
        <v>8.3999999999999991E-2</v>
      </c>
      <c r="M25" s="87" t="s">
        <v>67</v>
      </c>
      <c r="N25" s="88"/>
      <c r="O25" s="211">
        <f>(O17*O21)+O23+O24</f>
        <v>1041.735032</v>
      </c>
      <c r="Q25" s="200"/>
      <c r="AD25" s="17"/>
      <c r="AE25" s="17"/>
      <c r="AF25" s="17"/>
    </row>
    <row r="26" spans="1:42" ht="13.5" customHeight="1">
      <c r="AD26" s="17"/>
      <c r="AE26" s="17"/>
      <c r="AF26" s="17"/>
    </row>
    <row r="27" spans="1:42" ht="13.5" customHeight="1">
      <c r="Q27" s="205"/>
    </row>
    <row r="28" spans="1:42" ht="13.5" customHeight="1">
      <c r="B28" s="31" t="s">
        <v>68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42" ht="13.5" customHeight="1"/>
    <row r="30" spans="1:42" ht="13.5" customHeight="1">
      <c r="B30" s="61" t="s">
        <v>69</v>
      </c>
      <c r="C30" s="62"/>
      <c r="D30" s="62"/>
      <c r="E30" s="62"/>
      <c r="F30" s="63">
        <v>2023</v>
      </c>
      <c r="G30" s="63">
        <f>F30+1</f>
        <v>2024</v>
      </c>
      <c r="H30" s="63">
        <f>G30+1</f>
        <v>2025</v>
      </c>
      <c r="I30" s="64">
        <f>H30+1</f>
        <v>2026</v>
      </c>
      <c r="J30" s="64">
        <f t="shared" ref="J30:M30" si="0">I30+1</f>
        <v>2027</v>
      </c>
      <c r="K30" s="64">
        <f t="shared" si="0"/>
        <v>2028</v>
      </c>
      <c r="L30" s="64">
        <f t="shared" si="0"/>
        <v>2029</v>
      </c>
      <c r="M30" s="64">
        <f t="shared" si="0"/>
        <v>2030</v>
      </c>
      <c r="N30" s="64">
        <f>M30+1</f>
        <v>2031</v>
      </c>
      <c r="O30" s="64">
        <f>N30+1</f>
        <v>2032</v>
      </c>
    </row>
    <row r="31" spans="1:42" ht="13.5" customHeight="1">
      <c r="P31" s="145"/>
      <c r="R31" s="18"/>
      <c r="S31" s="18"/>
      <c r="T31" s="18"/>
      <c r="V31" s="19"/>
      <c r="W31" s="19"/>
      <c r="X31" s="19"/>
      <c r="AL31" s="11"/>
      <c r="AM31" s="11"/>
      <c r="AN31" s="11"/>
      <c r="AO31" s="11"/>
      <c r="AP31" s="11"/>
    </row>
    <row r="32" spans="1:42" ht="13.5" customHeight="1">
      <c r="B32" s="11" t="s">
        <v>70</v>
      </c>
      <c r="F32" s="68">
        <v>362.56200000000001</v>
      </c>
      <c r="G32" s="68">
        <v>350.38200000000001</v>
      </c>
      <c r="H32" s="68">
        <v>349.69600000000003</v>
      </c>
      <c r="I32" s="68">
        <f t="shared" ref="I32:O32" si="1">H32*(1+I51)</f>
        <v>356.00526309410873</v>
      </c>
      <c r="J32" s="68">
        <f t="shared" si="1"/>
        <v>365.98841140743713</v>
      </c>
      <c r="K32" s="68">
        <f t="shared" si="1"/>
        <v>379.91139264621347</v>
      </c>
      <c r="L32" s="68">
        <f t="shared" si="1"/>
        <v>398.16314776934473</v>
      </c>
      <c r="M32" s="68">
        <f t="shared" si="1"/>
        <v>421.27338768787178</v>
      </c>
      <c r="N32" s="68">
        <f t="shared" si="1"/>
        <v>441.51226143791808</v>
      </c>
      <c r="O32" s="68">
        <f t="shared" si="1"/>
        <v>464.19516146883984</v>
      </c>
    </row>
    <row r="33" spans="2:35" ht="13.5" customHeight="1">
      <c r="B33" s="55" t="s">
        <v>71</v>
      </c>
      <c r="F33" s="65">
        <v>-68.319000000000003</v>
      </c>
      <c r="G33" s="65">
        <v>-69.688000000000002</v>
      </c>
      <c r="H33" s="65">
        <v>-70.600999999999999</v>
      </c>
      <c r="I33" s="66">
        <f>I34-I32</f>
        <v>-71.201052618821734</v>
      </c>
      <c r="J33" s="66">
        <f t="shared" ref="J33:O33" si="2">J34-J32</f>
        <v>-73.197682281487403</v>
      </c>
      <c r="K33" s="66">
        <f t="shared" si="2"/>
        <v>-75.982278529242706</v>
      </c>
      <c r="L33" s="66">
        <f t="shared" si="2"/>
        <v>-79.632629553868924</v>
      </c>
      <c r="M33" s="66">
        <f t="shared" si="2"/>
        <v>-84.25467753757431</v>
      </c>
      <c r="N33" s="66">
        <f t="shared" si="2"/>
        <v>-88.302452287583606</v>
      </c>
      <c r="O33" s="66">
        <f t="shared" si="2"/>
        <v>-92.839032293767957</v>
      </c>
      <c r="Q33" s="60"/>
    </row>
    <row r="34" spans="2:35" ht="13.5" customHeight="1">
      <c r="B34" s="11" t="s">
        <v>72</v>
      </c>
      <c r="F34" s="68">
        <f>SUM(F32:F33)</f>
        <v>294.24299999999999</v>
      </c>
      <c r="G34" s="68">
        <f>SUM(G32:G33)</f>
        <v>280.69400000000002</v>
      </c>
      <c r="H34" s="68">
        <f>SUM(H32:H33)</f>
        <v>279.09500000000003</v>
      </c>
      <c r="I34" s="68">
        <f t="shared" ref="I34:O34" si="3">I32*I54</f>
        <v>284.80421047528699</v>
      </c>
      <c r="J34" s="68">
        <f t="shared" si="3"/>
        <v>292.79072912594972</v>
      </c>
      <c r="K34" s="68">
        <f t="shared" si="3"/>
        <v>303.92911411697077</v>
      </c>
      <c r="L34" s="68">
        <f t="shared" si="3"/>
        <v>318.53051821547581</v>
      </c>
      <c r="M34" s="68">
        <f t="shared" si="3"/>
        <v>337.01871015029747</v>
      </c>
      <c r="N34" s="68">
        <f t="shared" si="3"/>
        <v>353.20980915033448</v>
      </c>
      <c r="O34" s="68">
        <f t="shared" si="3"/>
        <v>371.35612917507189</v>
      </c>
    </row>
    <row r="35" spans="2:35" ht="13.5" customHeight="1">
      <c r="R35" s="18"/>
      <c r="S35" s="18"/>
    </row>
    <row r="36" spans="2:35" ht="13.5" customHeight="1">
      <c r="B36" s="55" t="s">
        <v>73</v>
      </c>
      <c r="F36" s="67">
        <v>-139.28700000000001</v>
      </c>
      <c r="G36" s="67">
        <v>-123.611</v>
      </c>
      <c r="H36" s="67">
        <v>-121.392</v>
      </c>
      <c r="I36" s="18">
        <f>H36*(1+I52)</f>
        <v>-130.77521107865132</v>
      </c>
      <c r="J36" s="18">
        <f t="shared" ref="J36:O36" si="4">I36*(1+J52)</f>
        <v>-131.03676150080864</v>
      </c>
      <c r="K36" s="18">
        <f t="shared" si="4"/>
        <v>-132.08505559281511</v>
      </c>
      <c r="L36" s="18">
        <f t="shared" si="4"/>
        <v>-132.81152339857559</v>
      </c>
      <c r="M36" s="18">
        <f t="shared" si="4"/>
        <v>-133.70800118151598</v>
      </c>
      <c r="N36" s="18">
        <f t="shared" si="4"/>
        <v>-134.52696268875275</v>
      </c>
      <c r="O36" s="18">
        <f t="shared" si="4"/>
        <v>-135.39298001106161</v>
      </c>
      <c r="P36" s="18"/>
      <c r="R36" s="12"/>
    </row>
    <row r="37" spans="2:35" ht="13.5" customHeight="1">
      <c r="B37" s="55" t="s">
        <v>74</v>
      </c>
      <c r="F37" s="67">
        <v>-7.7270000000000003</v>
      </c>
      <c r="G37" s="67">
        <v>-7.6829999999999998</v>
      </c>
      <c r="H37" s="67">
        <v>-7.4640000000000004</v>
      </c>
      <c r="I37" s="18">
        <f>H37*(1+I53)</f>
        <v>-7.6733065095809723</v>
      </c>
      <c r="J37" s="18">
        <f>I37*(1+J53)</f>
        <v>-7.8576275303617606</v>
      </c>
      <c r="K37" s="18">
        <f t="shared" ref="K37:O37" si="5">J37*(1+K53)</f>
        <v>-8.1249524143001448</v>
      </c>
      <c r="L37" s="18">
        <f t="shared" si="5"/>
        <v>-8.482621500552078</v>
      </c>
      <c r="M37" s="18">
        <f t="shared" si="5"/>
        <v>-8.7712093471210686</v>
      </c>
      <c r="N37" s="18">
        <f t="shared" si="5"/>
        <v>-9.0988526250577717</v>
      </c>
      <c r="O37" s="18">
        <f t="shared" si="5"/>
        <v>-9.4488446578849139</v>
      </c>
      <c r="S37" s="12"/>
    </row>
    <row r="38" spans="2:35" ht="13.5" customHeight="1">
      <c r="B38" s="8" t="s">
        <v>75</v>
      </c>
      <c r="F38" s="68">
        <f t="shared" ref="F38:H38" si="6">F34+SUM(F36:F37)</f>
        <v>147.22899999999998</v>
      </c>
      <c r="G38" s="68">
        <f t="shared" si="6"/>
        <v>149.4</v>
      </c>
      <c r="H38" s="68">
        <f t="shared" si="6"/>
        <v>150.23900000000003</v>
      </c>
      <c r="I38" s="68">
        <f>I34+SUM(I36:I37)</f>
        <v>146.35569288705469</v>
      </c>
      <c r="J38" s="68">
        <f t="shared" ref="J38:O38" si="7">J34+SUM(J36:J37)</f>
        <v>153.89634009477933</v>
      </c>
      <c r="K38" s="68">
        <f t="shared" si="7"/>
        <v>163.71910610985552</v>
      </c>
      <c r="L38" s="68">
        <f t="shared" si="7"/>
        <v>177.23637331634814</v>
      </c>
      <c r="M38" s="68">
        <f t="shared" si="7"/>
        <v>194.53949962166041</v>
      </c>
      <c r="N38" s="68">
        <f t="shared" si="7"/>
        <v>209.58399383652397</v>
      </c>
      <c r="O38" s="68">
        <f t="shared" si="7"/>
        <v>226.51430450612537</v>
      </c>
      <c r="S38" s="12"/>
      <c r="AI38" s="10"/>
    </row>
    <row r="39" spans="2:35" ht="13.5" customHeight="1">
      <c r="P39" s="145"/>
      <c r="AI39" s="10"/>
    </row>
    <row r="40" spans="2:35" ht="13.5" customHeight="1">
      <c r="B40" s="55" t="s">
        <v>76</v>
      </c>
      <c r="F40" s="67">
        <v>-45.366999999999997</v>
      </c>
      <c r="G40" s="67">
        <v>-33.978999999999999</v>
      </c>
      <c r="H40" s="67">
        <v>-35.527999999999999</v>
      </c>
      <c r="I40" s="66">
        <f t="shared" ref="I40:O40" si="8">-I128</f>
        <v>-79.315370512170233</v>
      </c>
      <c r="J40" s="66">
        <f t="shared" si="8"/>
        <v>-77.074163479908435</v>
      </c>
      <c r="K40" s="66">
        <f t="shared" si="8"/>
        <v>-62.391345090752466</v>
      </c>
      <c r="L40" s="66">
        <f t="shared" si="8"/>
        <v>-57.333352769473152</v>
      </c>
      <c r="M40" s="66">
        <f t="shared" si="8"/>
        <v>-54.630157617131495</v>
      </c>
      <c r="N40" s="66">
        <f t="shared" si="8"/>
        <v>-46.851111452445508</v>
      </c>
      <c r="O40" s="66">
        <f t="shared" si="8"/>
        <v>-39.035605569881568</v>
      </c>
      <c r="S40" s="12"/>
      <c r="AI40" s="10"/>
    </row>
    <row r="41" spans="2:35" ht="13.5" customHeight="1">
      <c r="B41" s="55" t="s">
        <v>77</v>
      </c>
      <c r="F41" s="67">
        <v>1.302</v>
      </c>
      <c r="G41" s="67">
        <v>6.8239999999999998</v>
      </c>
      <c r="H41" s="67">
        <v>-0.70199999999999996</v>
      </c>
      <c r="I41" s="66">
        <f>H41</f>
        <v>-0.70199999999999996</v>
      </c>
      <c r="J41" s="66">
        <f>I41</f>
        <v>-0.70199999999999996</v>
      </c>
      <c r="K41" s="66">
        <f>J41</f>
        <v>-0.70199999999999996</v>
      </c>
      <c r="L41" s="66">
        <f>K41</f>
        <v>-0.70199999999999996</v>
      </c>
      <c r="M41" s="66">
        <f>L41</f>
        <v>-0.70199999999999996</v>
      </c>
      <c r="N41" s="66">
        <f t="shared" ref="N41:O41" si="9">M41</f>
        <v>-0.70199999999999996</v>
      </c>
      <c r="O41" s="66">
        <f t="shared" si="9"/>
        <v>-0.70199999999999996</v>
      </c>
      <c r="AI41" s="10"/>
    </row>
    <row r="42" spans="2:35" ht="13.5" customHeight="1">
      <c r="B42" s="8" t="s">
        <v>78</v>
      </c>
      <c r="F42" s="68">
        <f t="shared" ref="F42:M42" si="10">SUM(F38:F41)</f>
        <v>103.164</v>
      </c>
      <c r="G42" s="68">
        <f t="shared" si="10"/>
        <v>122.245</v>
      </c>
      <c r="H42" s="68">
        <f t="shared" si="10"/>
        <v>114.00900000000004</v>
      </c>
      <c r="I42" s="68">
        <f>SUM(I38:I41)</f>
        <v>66.338322374884456</v>
      </c>
      <c r="J42" s="68">
        <f t="shared" si="10"/>
        <v>76.1201766148709</v>
      </c>
      <c r="K42" s="68">
        <f t="shared" si="10"/>
        <v>100.62576101910305</v>
      </c>
      <c r="L42" s="68">
        <f t="shared" si="10"/>
        <v>119.20102054687499</v>
      </c>
      <c r="M42" s="68">
        <f t="shared" si="10"/>
        <v>139.20734200452893</v>
      </c>
      <c r="N42" s="68">
        <f t="shared" ref="N42" si="11">SUM(N38:N41)</f>
        <v>162.03088238407847</v>
      </c>
      <c r="O42" s="68">
        <f>SUM(O38:O41)</f>
        <v>186.7766989362438</v>
      </c>
      <c r="AI42" s="10"/>
    </row>
    <row r="43" spans="2:35" ht="13.5" customHeight="1">
      <c r="AI43" s="10"/>
    </row>
    <row r="44" spans="2:35" ht="13.5" customHeight="1">
      <c r="B44" s="69" t="s">
        <v>79</v>
      </c>
      <c r="F44" s="67">
        <v>-25.869</v>
      </c>
      <c r="G44" s="67">
        <v>-32.81</v>
      </c>
      <c r="H44" s="67">
        <v>-29.481999999999999</v>
      </c>
      <c r="I44" s="66">
        <f t="shared" ref="I44:O44" si="12">-I42*I57</f>
        <v>-16.584580593721114</v>
      </c>
      <c r="J44" s="66">
        <f t="shared" si="12"/>
        <v>-19.030044153717725</v>
      </c>
      <c r="K44" s="66">
        <f t="shared" si="12"/>
        <v>-25.156440254775763</v>
      </c>
      <c r="L44" s="66">
        <f t="shared" si="12"/>
        <v>-29.800255136718746</v>
      </c>
      <c r="M44" s="66">
        <f t="shared" si="12"/>
        <v>-34.801835501132231</v>
      </c>
      <c r="N44" s="66">
        <f t="shared" si="12"/>
        <v>-40.507720596019617</v>
      </c>
      <c r="O44" s="66">
        <f t="shared" si="12"/>
        <v>-46.694174734060951</v>
      </c>
      <c r="AI44" s="10"/>
    </row>
    <row r="45" spans="2:35" ht="13.5" customHeight="1">
      <c r="B45" s="11" t="s">
        <v>80</v>
      </c>
      <c r="F45" s="68">
        <f t="shared" ref="F45:M45" si="13">SUM(F42:F44)</f>
        <v>77.295000000000002</v>
      </c>
      <c r="G45" s="68">
        <f t="shared" si="13"/>
        <v>89.435000000000002</v>
      </c>
      <c r="H45" s="68">
        <f t="shared" si="13"/>
        <v>84.527000000000044</v>
      </c>
      <c r="I45" s="68">
        <f>SUM(I42:I44)</f>
        <v>49.753741781163342</v>
      </c>
      <c r="J45" s="68">
        <f t="shared" si="13"/>
        <v>57.090132461153175</v>
      </c>
      <c r="K45" s="68">
        <f t="shared" si="13"/>
        <v>75.469320764327293</v>
      </c>
      <c r="L45" s="68">
        <f t="shared" si="13"/>
        <v>89.400765410156239</v>
      </c>
      <c r="M45" s="68">
        <f t="shared" si="13"/>
        <v>104.40550650339669</v>
      </c>
      <c r="N45" s="68">
        <f t="shared" ref="N45" si="14">SUM(N42:N44)</f>
        <v>121.52316178805884</v>
      </c>
      <c r="O45" s="68">
        <f>SUM(O42:O44)</f>
        <v>140.08252420218287</v>
      </c>
      <c r="P45" s="145"/>
      <c r="AI45" s="15"/>
    </row>
    <row r="46" spans="2:35" ht="13.5" customHeight="1">
      <c r="P46" s="145"/>
      <c r="AI46" s="16"/>
    </row>
    <row r="47" spans="2:35" ht="13.5" customHeight="1">
      <c r="B47" s="55" t="s">
        <v>81</v>
      </c>
      <c r="F47" s="67">
        <v>17.420999999999999</v>
      </c>
      <c r="G47" s="67">
        <v>20.515999999999998</v>
      </c>
      <c r="H47" s="67">
        <v>18.733000000000001</v>
      </c>
      <c r="I47" s="66">
        <f>H47*(1+I51)</f>
        <v>19.070983349943777</v>
      </c>
      <c r="J47" s="66">
        <f>I47*(1+J51)</f>
        <v>19.605774475245699</v>
      </c>
      <c r="K47" s="66">
        <f t="shared" ref="K47:O47" si="15">J47*(1+K51)</f>
        <v>20.351620031231459</v>
      </c>
      <c r="L47" s="66">
        <f t="shared" si="15"/>
        <v>21.329355346252555</v>
      </c>
      <c r="M47" s="66">
        <f t="shared" si="15"/>
        <v>22.567356708560865</v>
      </c>
      <c r="N47" s="66">
        <f t="shared" si="15"/>
        <v>23.65154074829714</v>
      </c>
      <c r="O47" s="66">
        <f t="shared" si="15"/>
        <v>24.866649775221262</v>
      </c>
      <c r="AI47" s="17"/>
    </row>
    <row r="48" spans="2:35" ht="13.5" customHeight="1">
      <c r="B48" s="55" t="s">
        <v>82</v>
      </c>
      <c r="F48" s="67">
        <v>18.163</v>
      </c>
      <c r="G48" s="67">
        <v>16.763999999999999</v>
      </c>
      <c r="H48" s="67">
        <v>17.693000000000001</v>
      </c>
      <c r="I48" s="66">
        <f>H48*(1+I51)</f>
        <v>18.012219527601307</v>
      </c>
      <c r="J48" s="66">
        <f>I48*(1+J51)</f>
        <v>18.517320652886468</v>
      </c>
      <c r="K48" s="66">
        <f t="shared" ref="K48:O48" si="16">J48*(1+K51)</f>
        <v>19.2217590995878</v>
      </c>
      <c r="L48" s="66">
        <f t="shared" si="16"/>
        <v>20.145213481089336</v>
      </c>
      <c r="M48" s="66">
        <f t="shared" si="16"/>
        <v>21.314484719188997</v>
      </c>
      <c r="N48" s="66">
        <f t="shared" si="16"/>
        <v>22.338478111334084</v>
      </c>
      <c r="O48" s="66">
        <f t="shared" si="16"/>
        <v>23.486127927880737</v>
      </c>
      <c r="AI48" s="16"/>
    </row>
    <row r="49" spans="2:35" ht="13.5" customHeight="1">
      <c r="B49" s="87" t="s">
        <v>83</v>
      </c>
      <c r="C49" s="87"/>
      <c r="D49" s="87"/>
      <c r="E49" s="87"/>
      <c r="F49" s="193">
        <f t="shared" ref="F49:M49" si="17">F38+F47+F48</f>
        <v>182.81299999999999</v>
      </c>
      <c r="G49" s="193">
        <f t="shared" si="17"/>
        <v>186.68</v>
      </c>
      <c r="H49" s="193">
        <f t="shared" si="17"/>
        <v>186.66500000000005</v>
      </c>
      <c r="I49" s="193">
        <f>I38+I47+I48</f>
        <v>183.43889576459978</v>
      </c>
      <c r="J49" s="193">
        <f>J38+J47+J48</f>
        <v>192.01943522291151</v>
      </c>
      <c r="K49" s="193">
        <f>K38+K47+K48</f>
        <v>203.29248524067475</v>
      </c>
      <c r="L49" s="193">
        <f t="shared" si="17"/>
        <v>218.71094214369003</v>
      </c>
      <c r="M49" s="193">
        <f t="shared" si="17"/>
        <v>238.42134104941027</v>
      </c>
      <c r="N49" s="193">
        <f t="shared" ref="N49" si="18">N38+N47+N48</f>
        <v>255.57401269615519</v>
      </c>
      <c r="O49" s="193">
        <f>O38+O47+O48</f>
        <v>274.86708220922736</v>
      </c>
      <c r="P49" s="11"/>
      <c r="AD49" s="15"/>
      <c r="AE49" s="15"/>
      <c r="AF49" s="15"/>
      <c r="AG49" s="15"/>
      <c r="AI49" s="16"/>
    </row>
    <row r="50" spans="2:35" ht="13.5" customHeight="1">
      <c r="AI50" s="16"/>
    </row>
    <row r="51" spans="2:35" ht="13.5" customHeight="1">
      <c r="B51" s="70" t="s">
        <v>84</v>
      </c>
      <c r="F51" s="37"/>
      <c r="G51" s="186">
        <f>G32/F32-1</f>
        <v>-3.3594254224105113E-2</v>
      </c>
      <c r="H51" s="186">
        <f>H32/G32-1</f>
        <v>-1.9578631322384465E-3</v>
      </c>
      <c r="I51" s="187">
        <f>H51+2%</f>
        <v>1.8042136867761554E-2</v>
      </c>
      <c r="J51" s="187">
        <f>I51+1%</f>
        <v>2.8042136867761552E-2</v>
      </c>
      <c r="K51" s="187">
        <f>J51+1%</f>
        <v>3.8042136867761554E-2</v>
      </c>
      <c r="L51" s="187">
        <f>K51+1%</f>
        <v>4.8042136867761556E-2</v>
      </c>
      <c r="M51" s="187">
        <f>L51+1%</f>
        <v>5.8042136867761558E-2</v>
      </c>
      <c r="N51" s="187">
        <f t="shared" ref="N51:O51" si="19">AVERAGE(K51:M51)</f>
        <v>4.8042136867761549E-2</v>
      </c>
      <c r="O51" s="187">
        <f t="shared" si="19"/>
        <v>5.137547020109489E-2</v>
      </c>
      <c r="AD51" s="15"/>
      <c r="AE51" s="15"/>
      <c r="AF51" s="15"/>
      <c r="AG51" s="15"/>
      <c r="AI51" s="16"/>
    </row>
    <row r="52" spans="2:35" ht="13.5" customHeight="1">
      <c r="B52" s="55" t="s">
        <v>73</v>
      </c>
      <c r="G52" s="186">
        <f>(G36/F36-1)</f>
        <v>-0.11254460215239037</v>
      </c>
      <c r="H52" s="186">
        <f>(H36/G36-1)</f>
        <v>-1.795147681031628E-2</v>
      </c>
      <c r="I52" s="186">
        <v>7.7296782972941624E-2</v>
      </c>
      <c r="J52" s="186">
        <v>2E-3</v>
      </c>
      <c r="K52" s="186">
        <v>8.0000000000000002E-3</v>
      </c>
      <c r="L52" s="186">
        <v>5.4999999999999997E-3</v>
      </c>
      <c r="M52" s="186">
        <v>6.7499999999999999E-3</v>
      </c>
      <c r="N52" s="186">
        <v>6.1250000000000002E-3</v>
      </c>
      <c r="O52" s="186">
        <v>6.4375000000000005E-3</v>
      </c>
      <c r="AI52" s="16"/>
    </row>
    <row r="53" spans="2:35" ht="13.5" customHeight="1">
      <c r="B53" s="55" t="s">
        <v>74</v>
      </c>
      <c r="G53" s="186">
        <f>(G37/F37-1)</f>
        <v>-5.694318623010286E-3</v>
      </c>
      <c r="H53" s="186">
        <f>(H37/G37-1)</f>
        <v>-2.8504490433424401E-2</v>
      </c>
      <c r="I53" s="186">
        <v>2.8042136867761469E-2</v>
      </c>
      <c r="J53" s="186">
        <v>2.4021068433880854E-2</v>
      </c>
      <c r="K53" s="186">
        <v>3.4021068433880863E-2</v>
      </c>
      <c r="L53" s="186">
        <v>4.4021068433880872E-2</v>
      </c>
      <c r="M53" s="186">
        <v>3.4021068433880863E-2</v>
      </c>
      <c r="N53" s="186">
        <v>3.7354401767214052E-2</v>
      </c>
      <c r="O53" s="186">
        <v>3.8465512878325114E-2</v>
      </c>
      <c r="AI53" s="12"/>
    </row>
    <row r="54" spans="2:35" ht="13.5" customHeight="1">
      <c r="B54" s="70" t="s">
        <v>85</v>
      </c>
      <c r="F54" s="186">
        <f>F34/F32</f>
        <v>0.81156602181144188</v>
      </c>
      <c r="G54" s="186">
        <f>G34/G32</f>
        <v>0.8011085044323053</v>
      </c>
      <c r="H54" s="186">
        <f>H34/H32</f>
        <v>0.79810749908491951</v>
      </c>
      <c r="I54" s="189">
        <v>0.8</v>
      </c>
      <c r="J54" s="189">
        <f>I54</f>
        <v>0.8</v>
      </c>
      <c r="K54" s="189">
        <f t="shared" ref="K54:M54" si="20">J54</f>
        <v>0.8</v>
      </c>
      <c r="L54" s="189">
        <f>K54</f>
        <v>0.8</v>
      </c>
      <c r="M54" s="189">
        <f t="shared" si="20"/>
        <v>0.8</v>
      </c>
      <c r="N54" s="189">
        <f t="shared" ref="N54" si="21">M54</f>
        <v>0.8</v>
      </c>
      <c r="O54" s="189">
        <f t="shared" ref="O54" si="22">N54</f>
        <v>0.8</v>
      </c>
      <c r="P54" s="70"/>
      <c r="AI54" s="12"/>
    </row>
    <row r="55" spans="2:35" ht="13.5" customHeight="1">
      <c r="B55" s="70" t="s">
        <v>86</v>
      </c>
      <c r="F55" s="186">
        <f t="shared" ref="F55:O55" si="23">F38/F32</f>
        <v>0.40607951191796154</v>
      </c>
      <c r="G55" s="186">
        <f t="shared" si="23"/>
        <v>0.42639176670034423</v>
      </c>
      <c r="H55" s="186">
        <f t="shared" si="23"/>
        <v>0.42962744784041002</v>
      </c>
      <c r="I55" s="186">
        <f t="shared" si="23"/>
        <v>0.41110541910265547</v>
      </c>
      <c r="J55" s="186">
        <f t="shared" si="23"/>
        <v>0.42049511759937669</v>
      </c>
      <c r="K55" s="186">
        <f t="shared" si="23"/>
        <v>0.43094023837899581</v>
      </c>
      <c r="L55" s="186">
        <f t="shared" si="23"/>
        <v>0.44513505157192718</v>
      </c>
      <c r="M55" s="186">
        <f t="shared" si="23"/>
        <v>0.46178919748379132</v>
      </c>
      <c r="N55" s="186">
        <f t="shared" si="23"/>
        <v>0.47469574945427423</v>
      </c>
      <c r="O55" s="186">
        <f t="shared" si="23"/>
        <v>0.48797213609330276</v>
      </c>
      <c r="P55" s="70"/>
    </row>
    <row r="56" spans="2:35" ht="13.5" customHeight="1">
      <c r="B56" s="55" t="s">
        <v>87</v>
      </c>
      <c r="F56" s="186">
        <f t="shared" ref="F56:N56" si="24">F49/F32</f>
        <v>0.50422548419304836</v>
      </c>
      <c r="G56" s="186">
        <f t="shared" si="24"/>
        <v>0.53278992642316103</v>
      </c>
      <c r="H56" s="186">
        <f t="shared" si="24"/>
        <v>0.53379220808931194</v>
      </c>
      <c r="I56" s="186">
        <f t="shared" si="24"/>
        <v>0.51527017935155739</v>
      </c>
      <c r="J56" s="186">
        <f t="shared" si="24"/>
        <v>0.52465987784827861</v>
      </c>
      <c r="K56" s="186">
        <f t="shared" si="24"/>
        <v>0.53510499862789762</v>
      </c>
      <c r="L56" s="186">
        <f t="shared" si="24"/>
        <v>0.5492998118208291</v>
      </c>
      <c r="M56" s="186">
        <f t="shared" si="24"/>
        <v>0.56595395773269319</v>
      </c>
      <c r="N56" s="186">
        <f t="shared" si="24"/>
        <v>0.57886050970317604</v>
      </c>
      <c r="O56" s="186">
        <f>O49/O32</f>
        <v>0.59213689634220468</v>
      </c>
      <c r="T56" s="9"/>
      <c r="AI56" s="16"/>
    </row>
    <row r="57" spans="2:35" ht="13.5" customHeight="1">
      <c r="B57" s="71" t="s">
        <v>88</v>
      </c>
      <c r="F57" s="188">
        <f>-F44/F42</f>
        <v>0.25075607770152381</v>
      </c>
      <c r="G57" s="188">
        <f>-G44/G42</f>
        <v>0.26839543539613075</v>
      </c>
      <c r="H57" s="188">
        <f>-H44/H42</f>
        <v>0.25859361980194534</v>
      </c>
      <c r="I57" s="188">
        <v>0.25</v>
      </c>
      <c r="J57" s="188">
        <f>I57</f>
        <v>0.25</v>
      </c>
      <c r="K57" s="188">
        <f t="shared" ref="K57:M57" si="25">J57</f>
        <v>0.25</v>
      </c>
      <c r="L57" s="188">
        <f t="shared" si="25"/>
        <v>0.25</v>
      </c>
      <c r="M57" s="188">
        <f t="shared" si="25"/>
        <v>0.25</v>
      </c>
      <c r="N57" s="188">
        <f t="shared" ref="N57" si="26">M57</f>
        <v>0.25</v>
      </c>
      <c r="O57" s="188">
        <f t="shared" ref="O57" si="27">N57</f>
        <v>0.25</v>
      </c>
      <c r="AI57" s="16"/>
    </row>
    <row r="58" spans="2:35" ht="13.5" customHeight="1">
      <c r="Y58" s="19"/>
      <c r="Z58" s="19"/>
      <c r="AI58" s="16"/>
    </row>
    <row r="59" spans="2:35" ht="13.5" customHeight="1">
      <c r="AI59" s="16"/>
    </row>
    <row r="60" spans="2:35" ht="13.5" customHeight="1">
      <c r="B60" s="31" t="s">
        <v>89</v>
      </c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AI60" s="16"/>
    </row>
    <row r="61" spans="2:35" ht="13.5" customHeight="1">
      <c r="AI61" s="20"/>
    </row>
    <row r="62" spans="2:35" ht="13.5" customHeight="1">
      <c r="B62" s="91" t="str">
        <f>B30</f>
        <v>($mm)</v>
      </c>
      <c r="C62" s="63"/>
      <c r="D62" s="62"/>
      <c r="E62" s="62"/>
      <c r="F62" s="62"/>
      <c r="G62" s="63">
        <f t="shared" ref="G62:O62" si="28">G30</f>
        <v>2024</v>
      </c>
      <c r="H62" s="63">
        <f t="shared" si="28"/>
        <v>2025</v>
      </c>
      <c r="I62" s="64">
        <f t="shared" si="28"/>
        <v>2026</v>
      </c>
      <c r="J62" s="64">
        <f t="shared" si="28"/>
        <v>2027</v>
      </c>
      <c r="K62" s="64">
        <f t="shared" si="28"/>
        <v>2028</v>
      </c>
      <c r="L62" s="64">
        <f t="shared" si="28"/>
        <v>2029</v>
      </c>
      <c r="M62" s="64">
        <f t="shared" si="28"/>
        <v>2030</v>
      </c>
      <c r="N62" s="64">
        <f t="shared" si="28"/>
        <v>2031</v>
      </c>
      <c r="O62" s="64">
        <f t="shared" si="28"/>
        <v>2032</v>
      </c>
    </row>
    <row r="63" spans="2:35" ht="13.5" customHeight="1"/>
    <row r="64" spans="2:35" ht="13.5" customHeight="1">
      <c r="B64" s="55" t="s">
        <v>90</v>
      </c>
      <c r="G64" s="113">
        <v>24.920999999999999</v>
      </c>
      <c r="H64" s="113">
        <v>23.686</v>
      </c>
      <c r="I64" s="114">
        <f t="shared" ref="I64:O64" si="29">H64*(1+I51)</f>
        <v>24.113346053849799</v>
      </c>
      <c r="J64" s="114">
        <f t="shared" si="29"/>
        <v>24.789535804231551</v>
      </c>
      <c r="K64" s="114">
        <f>J64*(1+K51)</f>
        <v>25.732582718184403</v>
      </c>
      <c r="L64" s="114">
        <f t="shared" si="29"/>
        <v>26.968830979092413</v>
      </c>
      <c r="M64" s="114">
        <f t="shared" si="29"/>
        <v>28.53415955794442</v>
      </c>
      <c r="N64" s="114">
        <f t="shared" si="29"/>
        <v>29.905001556833732</v>
      </c>
      <c r="O64" s="114">
        <f t="shared" si="29"/>
        <v>31.441385073180541</v>
      </c>
      <c r="P64" s="145"/>
    </row>
    <row r="65" spans="2:21" ht="13.5" customHeight="1">
      <c r="B65" s="55" t="s">
        <v>91</v>
      </c>
      <c r="G65" s="113">
        <v>16.059000000000001</v>
      </c>
      <c r="H65" s="113">
        <v>18.788</v>
      </c>
      <c r="I65" s="114">
        <f t="shared" ref="I65:O65" si="30">H65*(1+I51)</f>
        <v>19.126975667471502</v>
      </c>
      <c r="J65" s="114">
        <f t="shared" si="30"/>
        <v>19.663336937005081</v>
      </c>
      <c r="K65" s="114">
        <f t="shared" si="30"/>
        <v>20.411372292039538</v>
      </c>
      <c r="L65" s="114">
        <f t="shared" si="30"/>
        <v>21.391978233352535</v>
      </c>
      <c r="M65" s="114">
        <f t="shared" si="30"/>
        <v>22.633614361844959</v>
      </c>
      <c r="N65" s="114">
        <f t="shared" si="30"/>
        <v>23.720981560828847</v>
      </c>
      <c r="O65" s="114">
        <f t="shared" si="30"/>
        <v>24.93965814214793</v>
      </c>
      <c r="P65" s="145"/>
    </row>
    <row r="66" spans="2:21" ht="13.5" customHeight="1">
      <c r="B66" s="11" t="s">
        <v>92</v>
      </c>
      <c r="G66" s="115">
        <f t="shared" ref="G66:M66" si="31">SUM(G64:G65)</f>
        <v>40.980000000000004</v>
      </c>
      <c r="H66" s="115">
        <f t="shared" si="31"/>
        <v>42.474000000000004</v>
      </c>
      <c r="I66" s="116">
        <f t="shared" si="31"/>
        <v>43.240321721321301</v>
      </c>
      <c r="J66" s="116">
        <f t="shared" si="31"/>
        <v>44.452872741236632</v>
      </c>
      <c r="K66" s="116">
        <f t="shared" si="31"/>
        <v>46.143955010223941</v>
      </c>
      <c r="L66" s="116">
        <f t="shared" si="31"/>
        <v>48.360809212444948</v>
      </c>
      <c r="M66" s="116">
        <f t="shared" si="31"/>
        <v>51.167773919789383</v>
      </c>
      <c r="N66" s="116">
        <f t="shared" ref="N66:O66" si="32">SUM(N64:N65)</f>
        <v>53.625983117662578</v>
      </c>
      <c r="O66" s="116">
        <f t="shared" si="32"/>
        <v>56.381043215328475</v>
      </c>
    </row>
    <row r="67" spans="2:21" ht="13.5" customHeight="1"/>
    <row r="68" spans="2:21" ht="13.5" customHeight="1">
      <c r="B68" s="55" t="s">
        <v>93</v>
      </c>
      <c r="G68" s="113">
        <v>36.476999999999997</v>
      </c>
      <c r="H68" s="113">
        <v>36.045000000000002</v>
      </c>
      <c r="I68" s="114">
        <f t="shared" ref="I68:O68" si="33">H68*(1+I51)</f>
        <v>36.695328823398462</v>
      </c>
      <c r="J68" s="114">
        <f t="shared" si="33"/>
        <v>37.724344256671714</v>
      </c>
      <c r="K68" s="114">
        <f>J68*(1+K51)</f>
        <v>39.159458924130568</v>
      </c>
      <c r="L68" s="114">
        <f t="shared" si="33"/>
        <v>41.040763009431132</v>
      </c>
      <c r="M68" s="114">
        <f t="shared" si="33"/>
        <v>43.422856593181898</v>
      </c>
      <c r="N68" s="114">
        <f t="shared" si="33"/>
        <v>45.508983412820719</v>
      </c>
      <c r="O68" s="114">
        <f t="shared" si="33"/>
        <v>47.847028834028208</v>
      </c>
      <c r="P68" s="145"/>
    </row>
    <row r="69" spans="2:21" ht="13.5" customHeight="1">
      <c r="B69" s="55" t="s">
        <v>94</v>
      </c>
      <c r="G69" s="113">
        <v>1.0680000000000001</v>
      </c>
      <c r="H69" s="113">
        <v>9.7000000000000003E-2</v>
      </c>
      <c r="I69" s="114">
        <f t="shared" ref="I69:O69" si="34">H69*(I42/H42)</f>
        <v>5.6441309636640881E-2</v>
      </c>
      <c r="J69" s="114">
        <f t="shared" si="34"/>
        <v>6.4763809275078951E-2</v>
      </c>
      <c r="K69" s="114">
        <f>J69*(K42/J42)</f>
        <v>8.561340612454274E-2</v>
      </c>
      <c r="L69" s="114">
        <f t="shared" si="34"/>
        <v>0.10141742312490129</v>
      </c>
      <c r="M69" s="114">
        <f t="shared" si="34"/>
        <v>0.11843900195983915</v>
      </c>
      <c r="N69" s="114">
        <f t="shared" si="34"/>
        <v>0.13785749889268045</v>
      </c>
      <c r="O69" s="114">
        <f t="shared" si="34"/>
        <v>0.15891148766163762</v>
      </c>
      <c r="P69" s="145"/>
    </row>
    <row r="70" spans="2:21" ht="13.5" customHeight="1">
      <c r="B70" s="55" t="s">
        <v>95</v>
      </c>
      <c r="G70" s="113">
        <v>20.713999999999999</v>
      </c>
      <c r="H70" s="113">
        <v>19.773</v>
      </c>
      <c r="I70" s="114">
        <f t="shared" ref="I70:O70" si="35">H70*(1+I51)</f>
        <v>20.129747172286248</v>
      </c>
      <c r="J70" s="114">
        <f t="shared" si="35"/>
        <v>20.694228297604933</v>
      </c>
      <c r="K70" s="114">
        <f t="shared" si="35"/>
        <v>21.481480962875121</v>
      </c>
      <c r="L70" s="114">
        <f t="shared" si="35"/>
        <v>22.513497211415782</v>
      </c>
      <c r="M70" s="114">
        <f t="shared" si="35"/>
        <v>23.820228697932745</v>
      </c>
      <c r="N70" s="114">
        <f t="shared" si="35"/>
        <v>24.964603385260208</v>
      </c>
      <c r="O70" s="114">
        <f t="shared" si="35"/>
        <v>26.247171622561797</v>
      </c>
      <c r="P70" s="145"/>
    </row>
    <row r="71" spans="2:21" ht="13.5" customHeight="1">
      <c r="B71" s="55" t="s">
        <v>96</v>
      </c>
      <c r="G71" s="113">
        <v>2.15</v>
      </c>
      <c r="H71" s="113">
        <v>2.5760000000000001</v>
      </c>
      <c r="I71" s="114">
        <f>H71</f>
        <v>2.5760000000000001</v>
      </c>
      <c r="J71" s="114">
        <f>I71</f>
        <v>2.5760000000000001</v>
      </c>
      <c r="K71" s="114">
        <f>J71</f>
        <v>2.5760000000000001</v>
      </c>
      <c r="L71" s="114">
        <f t="shared" ref="L71:M71" si="36">K71</f>
        <v>2.5760000000000001</v>
      </c>
      <c r="M71" s="114">
        <f t="shared" si="36"/>
        <v>2.5760000000000001</v>
      </c>
      <c r="N71" s="114">
        <f t="shared" ref="N71" si="37">M71</f>
        <v>2.5760000000000001</v>
      </c>
      <c r="O71" s="114">
        <f>N71</f>
        <v>2.5760000000000001</v>
      </c>
      <c r="P71" s="145"/>
    </row>
    <row r="72" spans="2:21" ht="13.5" customHeight="1">
      <c r="B72" s="11" t="s">
        <v>97</v>
      </c>
      <c r="G72" s="115">
        <f>SUM(G68:G71)</f>
        <v>60.408999999999992</v>
      </c>
      <c r="H72" s="115">
        <f>SUM(H68:H71)</f>
        <v>58.491000000000007</v>
      </c>
      <c r="I72" s="116">
        <f t="shared" ref="I72:M72" si="38">SUM(I68:I71)</f>
        <v>59.457517305321353</v>
      </c>
      <c r="J72" s="116">
        <f t="shared" si="38"/>
        <v>61.059336363551729</v>
      </c>
      <c r="K72" s="116">
        <f t="shared" si="38"/>
        <v>63.302553293130238</v>
      </c>
      <c r="L72" s="116">
        <f t="shared" si="38"/>
        <v>66.231677643971807</v>
      </c>
      <c r="M72" s="116">
        <f t="shared" si="38"/>
        <v>69.937524293074475</v>
      </c>
      <c r="N72" s="116">
        <f t="shared" ref="N72:O72" si="39">SUM(N68:N71)</f>
        <v>73.187444296973595</v>
      </c>
      <c r="O72" s="116">
        <f t="shared" si="39"/>
        <v>76.829111944251636</v>
      </c>
    </row>
    <row r="73" spans="2:21" ht="13.5" customHeight="1"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</row>
    <row r="74" spans="2:21" ht="13.5" customHeight="1">
      <c r="B74" s="117" t="s">
        <v>98</v>
      </c>
      <c r="C74" s="37"/>
      <c r="G74" s="68">
        <f t="shared" ref="G74:M74" si="40">G66-G72</f>
        <v>-19.428999999999988</v>
      </c>
      <c r="H74" s="68">
        <f t="shared" si="40"/>
        <v>-16.017000000000003</v>
      </c>
      <c r="I74" s="68">
        <f t="shared" si="40"/>
        <v>-16.217195584000052</v>
      </c>
      <c r="J74" s="68">
        <f>J66-J72</f>
        <v>-16.606463622315097</v>
      </c>
      <c r="K74" s="68">
        <f>K66-K72</f>
        <v>-17.158598282906297</v>
      </c>
      <c r="L74" s="68">
        <f>L66-L72</f>
        <v>-17.870868431526858</v>
      </c>
      <c r="M74" s="68">
        <f t="shared" si="40"/>
        <v>-18.769750373285092</v>
      </c>
      <c r="N74" s="68">
        <f t="shared" ref="N74" si="41">N66-N72</f>
        <v>-19.561461179311017</v>
      </c>
      <c r="O74" s="68">
        <f>O66-O72</f>
        <v>-20.448068728923161</v>
      </c>
    </row>
    <row r="75" spans="2:21" ht="13.5" customHeight="1">
      <c r="B75" s="7" t="s">
        <v>99</v>
      </c>
      <c r="H75" s="18">
        <f t="shared" ref="H75:M75" si="42">H74-G74</f>
        <v>3.4119999999999848</v>
      </c>
      <c r="I75" s="18">
        <f>I74-H74</f>
        <v>-0.20019558400004911</v>
      </c>
      <c r="J75" s="18">
        <f t="shared" si="42"/>
        <v>-0.38926803831504486</v>
      </c>
      <c r="K75" s="18">
        <f>K74-J74</f>
        <v>-0.55213466059120009</v>
      </c>
      <c r="L75" s="18">
        <f t="shared" si="42"/>
        <v>-0.71227014862056137</v>
      </c>
      <c r="M75" s="18">
        <f t="shared" si="42"/>
        <v>-0.89888194175823344</v>
      </c>
      <c r="N75" s="18">
        <f t="shared" ref="N75" si="43">N74-M74</f>
        <v>-0.79171080602592525</v>
      </c>
      <c r="O75" s="18">
        <f>O74-N74</f>
        <v>-0.88660754961214394</v>
      </c>
    </row>
    <row r="76" spans="2:21" ht="13.5" customHeight="1"/>
    <row r="77" spans="2:21" ht="13.5" customHeight="1">
      <c r="B77" s="71" t="s">
        <v>100</v>
      </c>
      <c r="C77" s="72"/>
      <c r="G77" s="118">
        <f t="shared" ref="G77:O77" si="44">G74/G32</f>
        <v>-5.5450907866271631E-2</v>
      </c>
      <c r="H77" s="118">
        <f t="shared" si="44"/>
        <v>-4.580264000732065E-2</v>
      </c>
      <c r="I77" s="118">
        <f t="shared" si="44"/>
        <v>-4.5553246721841564E-2</v>
      </c>
      <c r="J77" s="118">
        <f t="shared" si="44"/>
        <v>-4.5374288105062235E-2</v>
      </c>
      <c r="K77" s="118">
        <f>K74/K32</f>
        <v>-4.5164737396767074E-2</v>
      </c>
      <c r="L77" s="118">
        <f t="shared" si="44"/>
        <v>-4.4883280965719669E-2</v>
      </c>
      <c r="M77" s="118">
        <f t="shared" si="44"/>
        <v>-4.4554797245326835E-2</v>
      </c>
      <c r="N77" s="118">
        <f t="shared" si="44"/>
        <v>-4.4305589873321317E-2</v>
      </c>
      <c r="O77" s="118">
        <f t="shared" si="44"/>
        <v>-4.405058567224162E-2</v>
      </c>
    </row>
    <row r="78" spans="2:21" ht="13.5" customHeight="1"/>
    <row r="79" spans="2:21" ht="13.5" customHeight="1"/>
    <row r="80" spans="2:21" ht="13.5" customHeight="1">
      <c r="B80" s="31" t="s">
        <v>101</v>
      </c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U80" s="148"/>
    </row>
    <row r="81" spans="2:30" ht="13.5" customHeight="1">
      <c r="U81" s="149"/>
    </row>
    <row r="82" spans="2:30" ht="13.5" customHeight="1">
      <c r="B82" s="91" t="str">
        <f>B30</f>
        <v>($mm)</v>
      </c>
      <c r="C82" s="63"/>
      <c r="D82" s="63"/>
      <c r="E82" s="63"/>
      <c r="F82" s="63">
        <f t="shared" ref="F82:O82" si="45">F30</f>
        <v>2023</v>
      </c>
      <c r="G82" s="63">
        <f t="shared" si="45"/>
        <v>2024</v>
      </c>
      <c r="H82" s="63">
        <f t="shared" si="45"/>
        <v>2025</v>
      </c>
      <c r="I82" s="64">
        <f t="shared" si="45"/>
        <v>2026</v>
      </c>
      <c r="J82" s="64">
        <f t="shared" si="45"/>
        <v>2027</v>
      </c>
      <c r="K82" s="64">
        <f t="shared" si="45"/>
        <v>2028</v>
      </c>
      <c r="L82" s="64">
        <f t="shared" si="45"/>
        <v>2029</v>
      </c>
      <c r="M82" s="64">
        <f t="shared" si="45"/>
        <v>2030</v>
      </c>
      <c r="N82" s="64">
        <f t="shared" si="45"/>
        <v>2031</v>
      </c>
      <c r="O82" s="64">
        <f t="shared" si="45"/>
        <v>2032</v>
      </c>
      <c r="U82" s="151"/>
    </row>
    <row r="83" spans="2:30" ht="13.5" customHeight="1">
      <c r="U83" s="148"/>
      <c r="AD83" s="15"/>
    </row>
    <row r="84" spans="2:30" ht="13.5" customHeight="1">
      <c r="B84" s="70" t="s">
        <v>102</v>
      </c>
      <c r="F84" s="96">
        <v>-36.460999999999999</v>
      </c>
      <c r="G84" s="96">
        <v>-33.44</v>
      </c>
      <c r="H84" s="96">
        <f t="shared" ref="H84:O84" si="46">G84*(1+H51)</f>
        <v>-33.374529056857945</v>
      </c>
      <c r="I84" s="81">
        <f>H84*(1+I51)</f>
        <v>-33.976676877998855</v>
      </c>
      <c r="J84" s="81">
        <f t="shared" si="46"/>
        <v>-34.929455501323403</v>
      </c>
      <c r="K84" s="81">
        <f t="shared" si="46"/>
        <v>-36.25824662822113</v>
      </c>
      <c r="L84" s="81">
        <f t="shared" si="46"/>
        <v>-38.000170275319178</v>
      </c>
      <c r="M84" s="81">
        <f t="shared" si="46"/>
        <v>-40.205781359437495</v>
      </c>
      <c r="N84" s="81">
        <f t="shared" si="46"/>
        <v>-42.137353010382881</v>
      </c>
      <c r="O84" s="81">
        <f t="shared" si="46"/>
        <v>-44.302179334320826</v>
      </c>
      <c r="P84" s="145"/>
      <c r="U84" s="148"/>
    </row>
    <row r="85" spans="2:30" ht="13.5" customHeight="1">
      <c r="B85" s="111" t="s">
        <v>103</v>
      </c>
      <c r="F85" s="112">
        <f t="shared" ref="F85:O85" si="47">-F84/F32</f>
        <v>0.10056486890518035</v>
      </c>
      <c r="G85" s="112">
        <f t="shared" si="47"/>
        <v>9.543869262690434E-2</v>
      </c>
      <c r="H85" s="112">
        <f t="shared" si="47"/>
        <v>9.5438692626904353E-2</v>
      </c>
      <c r="I85" s="112">
        <f t="shared" si="47"/>
        <v>9.543869262690434E-2</v>
      </c>
      <c r="J85" s="112">
        <f t="shared" si="47"/>
        <v>9.543869262690434E-2</v>
      </c>
      <c r="K85" s="112">
        <f t="shared" si="47"/>
        <v>9.5438692626904326E-2</v>
      </c>
      <c r="L85" s="112">
        <f t="shared" si="47"/>
        <v>9.5438692626904326E-2</v>
      </c>
      <c r="M85" s="112">
        <f t="shared" si="47"/>
        <v>9.5438692626904326E-2</v>
      </c>
      <c r="N85" s="112">
        <f t="shared" si="47"/>
        <v>9.5438692626904312E-2</v>
      </c>
      <c r="O85" s="112">
        <f t="shared" si="47"/>
        <v>9.5438692626904326E-2</v>
      </c>
      <c r="U85" s="148"/>
      <c r="AD85" s="15"/>
    </row>
    <row r="86" spans="2:30" ht="13.5" customHeight="1"/>
    <row r="87" spans="2:30" ht="13.5" customHeight="1"/>
    <row r="88" spans="2:30" ht="13.5" customHeight="1">
      <c r="B88" s="31" t="s">
        <v>104</v>
      </c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</row>
    <row r="89" spans="2:30" ht="13.5" customHeight="1"/>
    <row r="90" spans="2:30" ht="13.5" customHeight="1">
      <c r="B90" s="136" t="str">
        <f>B30</f>
        <v>($mm)</v>
      </c>
      <c r="C90" s="73"/>
      <c r="D90" s="63"/>
      <c r="E90" s="63"/>
      <c r="F90" s="63"/>
      <c r="G90" s="63"/>
      <c r="H90" s="63"/>
      <c r="I90" s="64">
        <f t="shared" ref="I90:O90" si="48">I30</f>
        <v>2026</v>
      </c>
      <c r="J90" s="64">
        <f t="shared" si="48"/>
        <v>2027</v>
      </c>
      <c r="K90" s="64">
        <f t="shared" si="48"/>
        <v>2028</v>
      </c>
      <c r="L90" s="64">
        <f t="shared" si="48"/>
        <v>2029</v>
      </c>
      <c r="M90" s="64">
        <f t="shared" si="48"/>
        <v>2030</v>
      </c>
      <c r="N90" s="64">
        <f t="shared" si="48"/>
        <v>2031</v>
      </c>
      <c r="O90" s="64">
        <f t="shared" si="48"/>
        <v>2032</v>
      </c>
    </row>
    <row r="91" spans="2:30" ht="13.5" customHeight="1">
      <c r="B91" s="70"/>
      <c r="D91" s="11"/>
      <c r="F91" s="23"/>
    </row>
    <row r="92" spans="2:30" ht="13.5" customHeight="1">
      <c r="B92" s="70" t="s">
        <v>6</v>
      </c>
      <c r="D92" s="74"/>
      <c r="E92" s="74"/>
      <c r="F92" s="74"/>
      <c r="I92" s="74">
        <f t="shared" ref="I92:O92" si="49">I32</f>
        <v>356.00526309410873</v>
      </c>
      <c r="J92" s="74">
        <f t="shared" si="49"/>
        <v>365.98841140743713</v>
      </c>
      <c r="K92" s="74">
        <f t="shared" si="49"/>
        <v>379.91139264621347</v>
      </c>
      <c r="L92" s="74">
        <f t="shared" si="49"/>
        <v>398.16314776934473</v>
      </c>
      <c r="M92" s="74">
        <f t="shared" si="49"/>
        <v>421.27338768787178</v>
      </c>
      <c r="N92" s="74">
        <f t="shared" si="49"/>
        <v>441.51226143791808</v>
      </c>
      <c r="O92" s="74">
        <f t="shared" si="49"/>
        <v>464.19516146883984</v>
      </c>
    </row>
    <row r="93" spans="2:30" ht="13.5" customHeight="1">
      <c r="B93" s="71" t="s">
        <v>105</v>
      </c>
      <c r="D93" s="75"/>
      <c r="E93" s="75"/>
      <c r="F93" s="75"/>
      <c r="I93" s="75">
        <f t="shared" ref="I93:O93" si="50">I51</f>
        <v>1.8042136867761554E-2</v>
      </c>
      <c r="J93" s="75">
        <f t="shared" si="50"/>
        <v>2.8042136867761552E-2</v>
      </c>
      <c r="K93" s="75">
        <f t="shared" si="50"/>
        <v>3.8042136867761554E-2</v>
      </c>
      <c r="L93" s="75">
        <f t="shared" si="50"/>
        <v>4.8042136867761556E-2</v>
      </c>
      <c r="M93" s="75">
        <f t="shared" si="50"/>
        <v>5.8042136867761558E-2</v>
      </c>
      <c r="N93" s="75">
        <f t="shared" si="50"/>
        <v>4.8042136867761549E-2</v>
      </c>
      <c r="O93" s="75">
        <f t="shared" si="50"/>
        <v>5.137547020109489E-2</v>
      </c>
    </row>
    <row r="94" spans="2:30" ht="13.5" customHeight="1">
      <c r="B94" s="117" t="s">
        <v>7</v>
      </c>
      <c r="D94" s="76"/>
      <c r="E94" s="76"/>
      <c r="F94" s="76"/>
      <c r="I94" s="76">
        <f t="shared" ref="I94:O94" si="51">I49</f>
        <v>183.43889576459978</v>
      </c>
      <c r="J94" s="76">
        <f t="shared" si="51"/>
        <v>192.01943522291151</v>
      </c>
      <c r="K94" s="76">
        <f t="shared" si="51"/>
        <v>203.29248524067475</v>
      </c>
      <c r="L94" s="76">
        <f t="shared" si="51"/>
        <v>218.71094214369003</v>
      </c>
      <c r="M94" s="76">
        <f t="shared" si="51"/>
        <v>238.42134104941027</v>
      </c>
      <c r="N94" s="76">
        <f t="shared" si="51"/>
        <v>255.57401269615519</v>
      </c>
      <c r="O94" s="76">
        <f t="shared" si="51"/>
        <v>274.86708220922736</v>
      </c>
    </row>
    <row r="95" spans="2:30" ht="13.5" customHeight="1">
      <c r="B95" s="71" t="s">
        <v>106</v>
      </c>
      <c r="D95" s="75"/>
      <c r="E95" s="75"/>
      <c r="F95" s="75"/>
      <c r="I95" s="75">
        <f t="shared" ref="I95:O95" si="52">I56</f>
        <v>0.51527017935155739</v>
      </c>
      <c r="J95" s="75">
        <f t="shared" si="52"/>
        <v>0.52465987784827861</v>
      </c>
      <c r="K95" s="75">
        <f t="shared" si="52"/>
        <v>0.53510499862789762</v>
      </c>
      <c r="L95" s="75">
        <f t="shared" si="52"/>
        <v>0.5492998118208291</v>
      </c>
      <c r="M95" s="75">
        <f t="shared" si="52"/>
        <v>0.56595395773269319</v>
      </c>
      <c r="N95" s="75">
        <f t="shared" si="52"/>
        <v>0.57886050970317604</v>
      </c>
      <c r="O95" s="75">
        <f t="shared" si="52"/>
        <v>0.59213689634220468</v>
      </c>
    </row>
    <row r="96" spans="2:30" ht="13.5" customHeight="1">
      <c r="B96" s="70" t="s">
        <v>107</v>
      </c>
      <c r="D96" s="77"/>
      <c r="E96" s="77"/>
      <c r="F96" s="77"/>
      <c r="G96" s="77"/>
      <c r="H96" s="77"/>
      <c r="I96" s="77">
        <f t="shared" ref="I96:O97" si="53">-I47</f>
        <v>-19.070983349943777</v>
      </c>
      <c r="J96" s="77">
        <f t="shared" si="53"/>
        <v>-19.605774475245699</v>
      </c>
      <c r="K96" s="77">
        <f t="shared" si="53"/>
        <v>-20.351620031231459</v>
      </c>
      <c r="L96" s="77">
        <f t="shared" si="53"/>
        <v>-21.329355346252555</v>
      </c>
      <c r="M96" s="77">
        <f t="shared" si="53"/>
        <v>-22.567356708560865</v>
      </c>
      <c r="N96" s="77">
        <f t="shared" si="53"/>
        <v>-23.65154074829714</v>
      </c>
      <c r="O96" s="77">
        <f t="shared" si="53"/>
        <v>-24.866649775221262</v>
      </c>
    </row>
    <row r="97" spans="2:21" ht="13.5" customHeight="1">
      <c r="B97" s="70" t="s">
        <v>108</v>
      </c>
      <c r="D97" s="77"/>
      <c r="E97" s="77"/>
      <c r="F97" s="77"/>
      <c r="G97" s="77"/>
      <c r="H97" s="77"/>
      <c r="I97" s="77">
        <f t="shared" si="53"/>
        <v>-18.012219527601307</v>
      </c>
      <c r="J97" s="77">
        <f t="shared" si="53"/>
        <v>-18.517320652886468</v>
      </c>
      <c r="K97" s="77">
        <f t="shared" si="53"/>
        <v>-19.2217590995878</v>
      </c>
      <c r="L97" s="77">
        <f t="shared" si="53"/>
        <v>-20.145213481089336</v>
      </c>
      <c r="M97" s="77">
        <f t="shared" si="53"/>
        <v>-21.314484719188997</v>
      </c>
      <c r="N97" s="77">
        <f t="shared" si="53"/>
        <v>-22.338478111334084</v>
      </c>
      <c r="O97" s="77">
        <f t="shared" si="53"/>
        <v>-23.486127927880737</v>
      </c>
    </row>
    <row r="98" spans="2:21" ht="13.5" customHeight="1">
      <c r="B98" s="98" t="s">
        <v>109</v>
      </c>
      <c r="C98" s="78"/>
      <c r="D98" s="79"/>
      <c r="E98" s="80"/>
      <c r="F98" s="80"/>
      <c r="G98" s="80"/>
      <c r="H98" s="80"/>
      <c r="I98" s="80">
        <f t="shared" ref="I98:O98" si="54">I38</f>
        <v>146.35569288705469</v>
      </c>
      <c r="J98" s="80">
        <f t="shared" si="54"/>
        <v>153.89634009477933</v>
      </c>
      <c r="K98" s="80">
        <f t="shared" si="54"/>
        <v>163.71910610985552</v>
      </c>
      <c r="L98" s="80">
        <f t="shared" si="54"/>
        <v>177.23637331634814</v>
      </c>
      <c r="M98" s="80">
        <f t="shared" si="54"/>
        <v>194.53949962166041</v>
      </c>
      <c r="N98" s="80">
        <f t="shared" si="54"/>
        <v>209.58399383652397</v>
      </c>
      <c r="O98" s="80">
        <f t="shared" si="54"/>
        <v>226.51430450612537</v>
      </c>
    </row>
    <row r="99" spans="2:21" ht="13.5" customHeight="1">
      <c r="B99" s="70" t="s">
        <v>110</v>
      </c>
      <c r="E99" s="81"/>
      <c r="F99" s="81"/>
      <c r="G99" s="81"/>
      <c r="H99" s="81"/>
      <c r="I99" s="81">
        <f t="shared" ref="I99:O101" si="55">I40</f>
        <v>-79.315370512170233</v>
      </c>
      <c r="J99" s="81">
        <f t="shared" si="55"/>
        <v>-77.074163479908435</v>
      </c>
      <c r="K99" s="81">
        <f t="shared" si="55"/>
        <v>-62.391345090752466</v>
      </c>
      <c r="L99" s="81">
        <f t="shared" si="55"/>
        <v>-57.333352769473152</v>
      </c>
      <c r="M99" s="81">
        <f t="shared" si="55"/>
        <v>-54.630157617131495</v>
      </c>
      <c r="N99" s="81">
        <f t="shared" si="55"/>
        <v>-46.851111452445508</v>
      </c>
      <c r="O99" s="81">
        <f t="shared" si="55"/>
        <v>-39.035605569881568</v>
      </c>
    </row>
    <row r="100" spans="2:21" ht="13.5" customHeight="1">
      <c r="B100" s="119" t="s">
        <v>111</v>
      </c>
      <c r="C100" s="82"/>
      <c r="D100" s="82"/>
      <c r="E100" s="83"/>
      <c r="F100" s="83"/>
      <c r="G100" s="83"/>
      <c r="H100" s="83"/>
      <c r="I100" s="83">
        <f t="shared" si="55"/>
        <v>-0.70199999999999996</v>
      </c>
      <c r="J100" s="83">
        <f t="shared" si="55"/>
        <v>-0.70199999999999996</v>
      </c>
      <c r="K100" s="83">
        <f t="shared" si="55"/>
        <v>-0.70199999999999996</v>
      </c>
      <c r="L100" s="83">
        <f t="shared" si="55"/>
        <v>-0.70199999999999996</v>
      </c>
      <c r="M100" s="83">
        <f t="shared" si="55"/>
        <v>-0.70199999999999996</v>
      </c>
      <c r="N100" s="83">
        <f t="shared" si="55"/>
        <v>-0.70199999999999996</v>
      </c>
      <c r="O100" s="83">
        <f t="shared" si="55"/>
        <v>-0.70199999999999996</v>
      </c>
    </row>
    <row r="101" spans="2:21" ht="13.5" customHeight="1">
      <c r="B101" s="117" t="s">
        <v>112</v>
      </c>
      <c r="E101" s="76"/>
      <c r="F101" s="76"/>
      <c r="G101" s="76"/>
      <c r="H101" s="76"/>
      <c r="I101" s="76">
        <f t="shared" si="55"/>
        <v>66.338322374884456</v>
      </c>
      <c r="J101" s="76">
        <f t="shared" si="55"/>
        <v>76.1201766148709</v>
      </c>
      <c r="K101" s="76">
        <f t="shared" si="55"/>
        <v>100.62576101910305</v>
      </c>
      <c r="L101" s="76">
        <f t="shared" si="55"/>
        <v>119.20102054687499</v>
      </c>
      <c r="M101" s="76">
        <f t="shared" si="55"/>
        <v>139.20734200452893</v>
      </c>
      <c r="N101" s="76">
        <f t="shared" si="55"/>
        <v>162.03088238407847</v>
      </c>
      <c r="O101" s="76">
        <f t="shared" si="55"/>
        <v>186.7766989362438</v>
      </c>
    </row>
    <row r="102" spans="2:21" ht="13.5" customHeight="1">
      <c r="B102" s="70" t="s">
        <v>113</v>
      </c>
      <c r="E102" s="81"/>
      <c r="F102" s="81"/>
      <c r="G102" s="81"/>
      <c r="H102" s="81"/>
      <c r="I102" s="81">
        <f t="shared" ref="I102:O102" si="56">I44</f>
        <v>-16.584580593721114</v>
      </c>
      <c r="J102" s="81">
        <f t="shared" si="56"/>
        <v>-19.030044153717725</v>
      </c>
      <c r="K102" s="81">
        <f t="shared" si="56"/>
        <v>-25.156440254775763</v>
      </c>
      <c r="L102" s="81">
        <f t="shared" si="56"/>
        <v>-29.800255136718746</v>
      </c>
      <c r="M102" s="81">
        <f t="shared" si="56"/>
        <v>-34.801835501132231</v>
      </c>
      <c r="N102" s="81">
        <f t="shared" si="56"/>
        <v>-40.507720596019617</v>
      </c>
      <c r="O102" s="81">
        <f t="shared" si="56"/>
        <v>-46.694174734060951</v>
      </c>
    </row>
    <row r="103" spans="2:21" ht="13.5" customHeight="1">
      <c r="B103" s="111" t="s">
        <v>114</v>
      </c>
      <c r="E103" s="75"/>
      <c r="F103" s="75"/>
      <c r="G103" s="75"/>
      <c r="H103" s="75"/>
      <c r="I103" s="75">
        <f t="shared" ref="I103:O103" si="57">I57</f>
        <v>0.25</v>
      </c>
      <c r="J103" s="75">
        <f t="shared" si="57"/>
        <v>0.25</v>
      </c>
      <c r="K103" s="75">
        <f t="shared" si="57"/>
        <v>0.25</v>
      </c>
      <c r="L103" s="75">
        <f t="shared" si="57"/>
        <v>0.25</v>
      </c>
      <c r="M103" s="75">
        <f t="shared" si="57"/>
        <v>0.25</v>
      </c>
      <c r="N103" s="75">
        <f t="shared" si="57"/>
        <v>0.25</v>
      </c>
      <c r="O103" s="75">
        <f t="shared" si="57"/>
        <v>0.25</v>
      </c>
    </row>
    <row r="104" spans="2:21" ht="13.5" customHeight="1">
      <c r="B104" s="70"/>
    </row>
    <row r="105" spans="2:21" ht="13.5" customHeight="1">
      <c r="B105" s="137" t="s">
        <v>115</v>
      </c>
      <c r="Q105" s="148"/>
      <c r="S105" s="148"/>
    </row>
    <row r="106" spans="2:21" ht="13.5" customHeight="1">
      <c r="B106" s="70" t="s">
        <v>7</v>
      </c>
      <c r="E106" s="85"/>
      <c r="F106" s="86"/>
      <c r="G106" s="86"/>
      <c r="H106" s="86"/>
      <c r="I106" s="81">
        <f>I94</f>
        <v>183.43889576459978</v>
      </c>
      <c r="J106" s="81">
        <f t="shared" ref="J106:M106" si="58">J94</f>
        <v>192.01943522291151</v>
      </c>
      <c r="K106" s="81">
        <f t="shared" si="58"/>
        <v>203.29248524067475</v>
      </c>
      <c r="L106" s="81">
        <f t="shared" si="58"/>
        <v>218.71094214369003</v>
      </c>
      <c r="M106" s="81">
        <f t="shared" si="58"/>
        <v>238.42134104941027</v>
      </c>
      <c r="N106" s="81">
        <f t="shared" ref="N106:O106" si="59">N94</f>
        <v>255.57401269615519</v>
      </c>
      <c r="O106" s="81">
        <f t="shared" si="59"/>
        <v>274.86708220922736</v>
      </c>
      <c r="Q106" s="148"/>
      <c r="S106" s="149"/>
    </row>
    <row r="107" spans="2:21" ht="13.5" customHeight="1">
      <c r="B107" s="55" t="s">
        <v>116</v>
      </c>
      <c r="E107" s="85"/>
      <c r="F107" s="86"/>
      <c r="G107" s="86"/>
      <c r="H107" s="86"/>
      <c r="I107" s="81">
        <f t="shared" ref="I107:O107" si="60">I44</f>
        <v>-16.584580593721114</v>
      </c>
      <c r="J107" s="81">
        <f t="shared" si="60"/>
        <v>-19.030044153717725</v>
      </c>
      <c r="K107" s="81">
        <f t="shared" si="60"/>
        <v>-25.156440254775763</v>
      </c>
      <c r="L107" s="81">
        <f t="shared" si="60"/>
        <v>-29.800255136718746</v>
      </c>
      <c r="M107" s="81">
        <f t="shared" si="60"/>
        <v>-34.801835501132231</v>
      </c>
      <c r="N107" s="81">
        <f t="shared" si="60"/>
        <v>-40.507720596019617</v>
      </c>
      <c r="O107" s="81">
        <f t="shared" si="60"/>
        <v>-46.694174734060951</v>
      </c>
      <c r="Q107" s="148"/>
      <c r="S107" s="150"/>
    </row>
    <row r="108" spans="2:21" ht="13.5" customHeight="1">
      <c r="B108" s="55" t="s">
        <v>110</v>
      </c>
      <c r="E108" s="85"/>
      <c r="F108" s="86"/>
      <c r="G108" s="86"/>
      <c r="H108" s="86"/>
      <c r="I108" s="81">
        <f t="shared" ref="I108:O108" si="61">I40</f>
        <v>-79.315370512170233</v>
      </c>
      <c r="J108" s="81">
        <f t="shared" si="61"/>
        <v>-77.074163479908435</v>
      </c>
      <c r="K108" s="81">
        <f t="shared" si="61"/>
        <v>-62.391345090752466</v>
      </c>
      <c r="L108" s="81">
        <f t="shared" si="61"/>
        <v>-57.333352769473152</v>
      </c>
      <c r="M108" s="81">
        <f t="shared" si="61"/>
        <v>-54.630157617131495</v>
      </c>
      <c r="N108" s="81">
        <f t="shared" si="61"/>
        <v>-46.851111452445508</v>
      </c>
      <c r="O108" s="81">
        <f t="shared" si="61"/>
        <v>-39.035605569881568</v>
      </c>
      <c r="Q108" s="148"/>
      <c r="S108" s="152"/>
    </row>
    <row r="109" spans="2:21" ht="13.5" customHeight="1">
      <c r="B109" s="55" t="s">
        <v>117</v>
      </c>
      <c r="E109" s="85"/>
      <c r="F109" s="86"/>
      <c r="G109" s="86"/>
      <c r="H109" s="86"/>
      <c r="I109" s="81">
        <f t="shared" ref="I109:O109" si="62">I84</f>
        <v>-33.976676877998855</v>
      </c>
      <c r="J109" s="81">
        <f t="shared" si="62"/>
        <v>-34.929455501323403</v>
      </c>
      <c r="K109" s="81">
        <f t="shared" si="62"/>
        <v>-36.25824662822113</v>
      </c>
      <c r="L109" s="81">
        <f t="shared" si="62"/>
        <v>-38.000170275319178</v>
      </c>
      <c r="M109" s="81">
        <f t="shared" si="62"/>
        <v>-40.205781359437495</v>
      </c>
      <c r="N109" s="81">
        <f t="shared" si="62"/>
        <v>-42.137353010382881</v>
      </c>
      <c r="O109" s="81">
        <f t="shared" si="62"/>
        <v>-44.302179334320826</v>
      </c>
      <c r="Q109" s="148"/>
      <c r="S109" s="148"/>
    </row>
    <row r="110" spans="2:21" ht="13.5" customHeight="1">
      <c r="B110" s="55" t="s">
        <v>118</v>
      </c>
      <c r="E110" s="85"/>
      <c r="F110" s="86"/>
      <c r="G110" s="86"/>
      <c r="H110" s="86"/>
      <c r="I110" s="81">
        <f t="shared" ref="I110:O110" si="63">I75</f>
        <v>-0.20019558400004911</v>
      </c>
      <c r="J110" s="81">
        <f t="shared" si="63"/>
        <v>-0.38926803831504486</v>
      </c>
      <c r="K110" s="81">
        <f t="shared" si="63"/>
        <v>-0.55213466059120009</v>
      </c>
      <c r="L110" s="81">
        <f t="shared" si="63"/>
        <v>-0.71227014862056137</v>
      </c>
      <c r="M110" s="81">
        <f t="shared" si="63"/>
        <v>-0.89888194175823344</v>
      </c>
      <c r="N110" s="81">
        <f t="shared" si="63"/>
        <v>-0.79171080602592525</v>
      </c>
      <c r="O110" s="81">
        <f t="shared" si="63"/>
        <v>-0.88660754961214394</v>
      </c>
      <c r="Q110" s="148"/>
      <c r="S110" s="148"/>
    </row>
    <row r="111" spans="2:21" ht="13.5" customHeight="1">
      <c r="B111" s="138" t="s">
        <v>119</v>
      </c>
      <c r="C111" s="88"/>
      <c r="D111" s="88"/>
      <c r="E111" s="89"/>
      <c r="F111" s="89"/>
      <c r="G111" s="89"/>
      <c r="H111" s="89"/>
      <c r="I111" s="90">
        <f>SUM(I106:I110)</f>
        <v>53.362072196709526</v>
      </c>
      <c r="J111" s="90">
        <f t="shared" ref="J111:M111" si="64">SUM(J106:J110)</f>
        <v>60.596504049646917</v>
      </c>
      <c r="K111" s="90">
        <f t="shared" si="64"/>
        <v>78.934318606334188</v>
      </c>
      <c r="L111" s="90">
        <f t="shared" si="64"/>
        <v>92.864893813558382</v>
      </c>
      <c r="M111" s="90">
        <f t="shared" si="64"/>
        <v>107.88468462995081</v>
      </c>
      <c r="N111" s="90">
        <f t="shared" ref="N111:O111" si="65">SUM(N106:N110)</f>
        <v>125.28611683128125</v>
      </c>
      <c r="O111" s="90">
        <f t="shared" si="65"/>
        <v>143.94851502135188</v>
      </c>
      <c r="Q111" s="9"/>
      <c r="U111" s="148"/>
    </row>
    <row r="112" spans="2:21" ht="13.5" customHeight="1">
      <c r="N112" s="9"/>
      <c r="O112" s="9"/>
      <c r="Q112" s="9"/>
      <c r="U112" s="148"/>
    </row>
    <row r="113" spans="2:22" ht="13.5" customHeight="1">
      <c r="U113" s="148"/>
    </row>
    <row r="114" spans="2:22" ht="13.5" customHeight="1">
      <c r="B114" s="31" t="s">
        <v>120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U114" s="148"/>
    </row>
    <row r="115" spans="2:22" ht="13.5" customHeight="1">
      <c r="U115" s="148"/>
    </row>
    <row r="116" spans="2:22" ht="13.5" customHeight="1">
      <c r="B116" s="91" t="str">
        <f>B30</f>
        <v>($mm)</v>
      </c>
      <c r="C116" s="63"/>
      <c r="D116" s="62"/>
      <c r="E116" s="62"/>
      <c r="F116" s="62"/>
      <c r="G116" s="63">
        <f t="shared" ref="G116:O116" si="66">G30</f>
        <v>2024</v>
      </c>
      <c r="H116" s="63">
        <f t="shared" si="66"/>
        <v>2025</v>
      </c>
      <c r="I116" s="64">
        <f t="shared" si="66"/>
        <v>2026</v>
      </c>
      <c r="J116" s="64">
        <f t="shared" si="66"/>
        <v>2027</v>
      </c>
      <c r="K116" s="64">
        <f t="shared" si="66"/>
        <v>2028</v>
      </c>
      <c r="L116" s="64">
        <f t="shared" si="66"/>
        <v>2029</v>
      </c>
      <c r="M116" s="64">
        <f t="shared" si="66"/>
        <v>2030</v>
      </c>
      <c r="N116" s="64">
        <f t="shared" si="66"/>
        <v>2031</v>
      </c>
      <c r="O116" s="64">
        <f t="shared" si="66"/>
        <v>2032</v>
      </c>
    </row>
    <row r="117" spans="2:22" ht="13.5" customHeight="1">
      <c r="B117" s="84"/>
      <c r="Q117" s="70"/>
      <c r="R117" s="70"/>
      <c r="S117" s="70"/>
      <c r="T117" s="154"/>
      <c r="U117" s="24"/>
    </row>
    <row r="118" spans="2:22" ht="13.5" customHeight="1">
      <c r="B118" s="33" t="s">
        <v>121</v>
      </c>
      <c r="H118" s="81"/>
      <c r="I118" s="81"/>
      <c r="J118" s="81"/>
      <c r="K118" s="81"/>
      <c r="L118" s="81"/>
      <c r="M118" s="81"/>
      <c r="N118" s="81"/>
      <c r="O118" s="81"/>
      <c r="U118" s="24"/>
    </row>
    <row r="119" spans="2:22" ht="13.5" customHeight="1">
      <c r="B119" s="7" t="s">
        <v>122</v>
      </c>
      <c r="H119" s="126"/>
      <c r="I119" s="155">
        <f>O23+E19</f>
        <v>944.23060133536001</v>
      </c>
      <c r="J119" s="127">
        <f t="shared" ref="J119:O119" si="67">I122</f>
        <v>890.8685291386505</v>
      </c>
      <c r="K119" s="127">
        <f t="shared" si="67"/>
        <v>830.27202508900359</v>
      </c>
      <c r="L119" s="127">
        <f t="shared" si="67"/>
        <v>751.33770648266943</v>
      </c>
      <c r="M119" s="127">
        <f t="shared" si="67"/>
        <v>658.47281266911102</v>
      </c>
      <c r="N119" s="127">
        <f t="shared" si="67"/>
        <v>550.58812803916021</v>
      </c>
      <c r="O119" s="127">
        <f t="shared" si="67"/>
        <v>425.30201120787899</v>
      </c>
      <c r="U119" s="26"/>
    </row>
    <row r="120" spans="2:22" ht="13.5" customHeight="1">
      <c r="B120" s="55" t="s">
        <v>123</v>
      </c>
      <c r="C120" s="125">
        <f>-I119*1%</f>
        <v>-9.4423060133535994</v>
      </c>
      <c r="H120" s="126"/>
      <c r="I120" s="127">
        <f t="shared" ref="I120:O120" si="68">IF(I119&gt;0,MIN($C$120,I119),0)</f>
        <v>-9.4423060133535994</v>
      </c>
      <c r="J120" s="127">
        <f t="shared" si="68"/>
        <v>-9.4423060133535994</v>
      </c>
      <c r="K120" s="127">
        <f t="shared" si="68"/>
        <v>-9.4423060133535994</v>
      </c>
      <c r="L120" s="127">
        <f t="shared" si="68"/>
        <v>-9.4423060133535994</v>
      </c>
      <c r="M120" s="127">
        <f t="shared" si="68"/>
        <v>-9.4423060133535994</v>
      </c>
      <c r="N120" s="127">
        <f t="shared" si="68"/>
        <v>-9.4423060133535994</v>
      </c>
      <c r="O120" s="127">
        <f t="shared" si="68"/>
        <v>-9.4423060133535994</v>
      </c>
      <c r="U120" s="28"/>
      <c r="V120" s="25"/>
    </row>
    <row r="121" spans="2:22" ht="13.5" customHeight="1">
      <c r="B121" s="55" t="s">
        <v>124</v>
      </c>
      <c r="H121" s="126"/>
      <c r="I121" s="127">
        <f t="shared" ref="I121:O121" si="69">-MIN(I111+I120,SUM(I119:I120))</f>
        <v>-43.919766183355925</v>
      </c>
      <c r="J121" s="127">
        <f t="shared" si="69"/>
        <v>-51.154198036293316</v>
      </c>
      <c r="K121" s="127">
        <f t="shared" si="69"/>
        <v>-69.492012592980586</v>
      </c>
      <c r="L121" s="127">
        <f t="shared" si="69"/>
        <v>-83.422587800204781</v>
      </c>
      <c r="M121" s="127">
        <f t="shared" si="69"/>
        <v>-98.44237861659721</v>
      </c>
      <c r="N121" s="127">
        <f t="shared" si="69"/>
        <v>-115.84381081792765</v>
      </c>
      <c r="O121" s="127">
        <f t="shared" si="69"/>
        <v>-134.50620900799828</v>
      </c>
      <c r="U121" s="30"/>
      <c r="V121" s="25"/>
    </row>
    <row r="122" spans="2:22" ht="13.5" customHeight="1">
      <c r="B122" s="7" t="s">
        <v>125</v>
      </c>
      <c r="H122" s="126"/>
      <c r="I122" s="155">
        <f>MAX(0,I119+SUM(I120:I121))</f>
        <v>890.8685291386505</v>
      </c>
      <c r="J122" s="127">
        <f>MAX(0,J119+SUM(J120:J121))</f>
        <v>830.27202508900359</v>
      </c>
      <c r="K122" s="127">
        <f>MAX(0,K119+SUM(K120:K121))</f>
        <v>751.33770648266943</v>
      </c>
      <c r="L122" s="127">
        <f>MAX(0,L119+SUM(L120:L121))</f>
        <v>658.47281266911102</v>
      </c>
      <c r="M122" s="127">
        <f>MAX(0, M119+SUM(M120:M121))</f>
        <v>550.58812803916021</v>
      </c>
      <c r="N122" s="127">
        <f>MAX(0, N119+SUM(N120:N121))</f>
        <v>425.30201120787899</v>
      </c>
      <c r="O122" s="127">
        <f>MAX(0, O119+SUM(O120:O121))</f>
        <v>281.35349618652708</v>
      </c>
      <c r="V122" s="27"/>
    </row>
    <row r="123" spans="2:22" ht="13.5" customHeight="1">
      <c r="H123" s="81"/>
      <c r="I123" s="81"/>
      <c r="J123" s="81"/>
      <c r="K123" s="81"/>
      <c r="L123" s="81"/>
      <c r="M123" s="81"/>
      <c r="N123" s="81"/>
      <c r="O123" s="81"/>
      <c r="V123" s="25"/>
    </row>
    <row r="124" spans="2:22" ht="13.5" customHeight="1">
      <c r="B124" s="7" t="s">
        <v>126</v>
      </c>
      <c r="C124" s="164">
        <f>K23</f>
        <v>3.6499999999999998E-2</v>
      </c>
      <c r="I124" s="156">
        <v>3.6499999999999998E-2</v>
      </c>
      <c r="J124" s="156">
        <v>3.6499999999999998E-2</v>
      </c>
      <c r="K124" s="156">
        <v>2.5000000000000001E-2</v>
      </c>
      <c r="L124" s="156">
        <v>2.5000000000000001E-2</v>
      </c>
      <c r="M124" s="156">
        <v>0.03</v>
      </c>
      <c r="N124" s="156">
        <v>0.03</v>
      </c>
      <c r="O124" s="156">
        <v>3.2500000000000001E-2</v>
      </c>
      <c r="V124" s="29"/>
    </row>
    <row r="125" spans="2:22" ht="13.5" customHeight="1">
      <c r="B125" s="148" t="s">
        <v>62</v>
      </c>
      <c r="C125" s="164">
        <f>K24</f>
        <v>4.7500000000000001E-2</v>
      </c>
      <c r="I125" s="156">
        <f>C125</f>
        <v>4.7500000000000001E-2</v>
      </c>
      <c r="J125" s="97">
        <f t="shared" ref="J125:O125" si="70">I125</f>
        <v>4.7500000000000001E-2</v>
      </c>
      <c r="K125" s="97">
        <f t="shared" si="70"/>
        <v>4.7500000000000001E-2</v>
      </c>
      <c r="L125" s="97">
        <f t="shared" si="70"/>
        <v>4.7500000000000001E-2</v>
      </c>
      <c r="M125" s="97">
        <f t="shared" si="70"/>
        <v>4.7500000000000001E-2</v>
      </c>
      <c r="N125" s="97">
        <f t="shared" si="70"/>
        <v>4.7500000000000001E-2</v>
      </c>
      <c r="O125" s="97">
        <f t="shared" si="70"/>
        <v>4.7500000000000001E-2</v>
      </c>
    </row>
    <row r="126" spans="2:22" ht="13.5" customHeight="1">
      <c r="B126" s="157" t="s">
        <v>66</v>
      </c>
      <c r="C126" s="158"/>
      <c r="D126" s="158"/>
      <c r="E126" s="158"/>
      <c r="F126" s="158"/>
      <c r="G126" s="158"/>
      <c r="H126" s="158"/>
      <c r="I126" s="159">
        <f t="shared" ref="I126:O126" si="71">SUM(I124:I125)</f>
        <v>8.3999999999999991E-2</v>
      </c>
      <c r="J126" s="159">
        <f t="shared" si="71"/>
        <v>8.3999999999999991E-2</v>
      </c>
      <c r="K126" s="159">
        <f t="shared" si="71"/>
        <v>7.2500000000000009E-2</v>
      </c>
      <c r="L126" s="159">
        <f t="shared" si="71"/>
        <v>7.2500000000000009E-2</v>
      </c>
      <c r="M126" s="159">
        <f t="shared" si="71"/>
        <v>7.7499999999999999E-2</v>
      </c>
      <c r="N126" s="159">
        <f t="shared" si="71"/>
        <v>7.7499999999999999E-2</v>
      </c>
      <c r="O126" s="159">
        <f t="shared" si="71"/>
        <v>0.08</v>
      </c>
    </row>
    <row r="127" spans="2:22" ht="13.5" customHeight="1">
      <c r="B127" s="33"/>
      <c r="C127" s="95"/>
      <c r="H127" s="127"/>
      <c r="I127" s="127"/>
      <c r="J127" s="127"/>
      <c r="K127" s="127"/>
      <c r="L127" s="127"/>
      <c r="M127" s="127"/>
      <c r="N127" s="127"/>
      <c r="O127" s="127"/>
    </row>
    <row r="128" spans="2:22" ht="13.5" customHeight="1">
      <c r="B128" s="98" t="s">
        <v>127</v>
      </c>
      <c r="C128" s="172"/>
      <c r="D128" s="78"/>
      <c r="E128" s="78"/>
      <c r="F128" s="78"/>
      <c r="G128" s="80"/>
      <c r="H128" s="173"/>
      <c r="I128" s="174">
        <f t="shared" ref="I128:O128" si="72">IF($C$20=1,AVERAGE(I119,H119)*I126,0)</f>
        <v>79.315370512170233</v>
      </c>
      <c r="J128" s="174">
        <f t="shared" si="72"/>
        <v>77.074163479908435</v>
      </c>
      <c r="K128" s="174">
        <f t="shared" si="72"/>
        <v>62.391345090752466</v>
      </c>
      <c r="L128" s="174">
        <f t="shared" si="72"/>
        <v>57.333352769473152</v>
      </c>
      <c r="M128" s="174">
        <f t="shared" si="72"/>
        <v>54.630157617131495</v>
      </c>
      <c r="N128" s="174">
        <f t="shared" si="72"/>
        <v>46.851111452445508</v>
      </c>
      <c r="O128" s="174">
        <f t="shared" si="72"/>
        <v>39.035605569881568</v>
      </c>
    </row>
    <row r="129" spans="2:20" ht="13.5" customHeight="1"/>
    <row r="130" spans="2:20" ht="13.5" customHeight="1">
      <c r="B130" s="33" t="s">
        <v>128</v>
      </c>
      <c r="G130" s="92"/>
    </row>
    <row r="131" spans="2:20" ht="13.5" customHeight="1">
      <c r="B131" s="7" t="s">
        <v>122</v>
      </c>
      <c r="H131" s="170">
        <v>70</v>
      </c>
      <c r="I131" s="127">
        <f>H133</f>
        <v>64</v>
      </c>
      <c r="J131" s="127">
        <f>H133</f>
        <v>64</v>
      </c>
      <c r="K131" s="127">
        <f t="shared" ref="K131:O131" si="73">J133</f>
        <v>64</v>
      </c>
      <c r="L131" s="127">
        <f t="shared" si="73"/>
        <v>64</v>
      </c>
      <c r="M131" s="127">
        <f t="shared" si="73"/>
        <v>64</v>
      </c>
      <c r="N131" s="127">
        <f t="shared" si="73"/>
        <v>64</v>
      </c>
      <c r="O131" s="127">
        <f t="shared" si="73"/>
        <v>64</v>
      </c>
      <c r="Q131"/>
    </row>
    <row r="132" spans="2:20" ht="13.5" customHeight="1">
      <c r="B132" s="55" t="s">
        <v>124</v>
      </c>
      <c r="H132" s="170">
        <v>-6</v>
      </c>
      <c r="I132" s="127">
        <f t="shared" ref="I132:O132" si="74">I111+I120+I121</f>
        <v>0</v>
      </c>
      <c r="J132" s="127">
        <f t="shared" si="74"/>
        <v>0</v>
      </c>
      <c r="K132" s="127">
        <f t="shared" si="74"/>
        <v>0</v>
      </c>
      <c r="L132" s="127">
        <f t="shared" si="74"/>
        <v>0</v>
      </c>
      <c r="M132" s="127">
        <f t="shared" si="74"/>
        <v>0</v>
      </c>
      <c r="N132" s="127">
        <f t="shared" si="74"/>
        <v>0</v>
      </c>
      <c r="O132" s="127">
        <f t="shared" si="74"/>
        <v>0</v>
      </c>
    </row>
    <row r="133" spans="2:20" ht="13.5" customHeight="1">
      <c r="B133" s="7" t="s">
        <v>125</v>
      </c>
      <c r="H133" s="170">
        <f t="shared" ref="H133:O133" si="75">H131+H132</f>
        <v>64</v>
      </c>
      <c r="I133" s="127">
        <f t="shared" si="75"/>
        <v>64</v>
      </c>
      <c r="J133" s="127">
        <f t="shared" si="75"/>
        <v>64</v>
      </c>
      <c r="K133" s="127">
        <f t="shared" si="75"/>
        <v>64</v>
      </c>
      <c r="L133" s="127">
        <f t="shared" si="75"/>
        <v>64</v>
      </c>
      <c r="M133" s="127">
        <f t="shared" si="75"/>
        <v>64</v>
      </c>
      <c r="N133" s="127">
        <f t="shared" si="75"/>
        <v>64</v>
      </c>
      <c r="O133" s="127">
        <f t="shared" si="75"/>
        <v>64</v>
      </c>
    </row>
    <row r="134" spans="2:20" ht="13.5" customHeight="1">
      <c r="I134" s="6"/>
      <c r="J134" s="6"/>
      <c r="K134" s="6"/>
      <c r="L134" s="6"/>
      <c r="M134" s="6"/>
      <c r="N134" s="6"/>
      <c r="O134" s="6"/>
    </row>
    <row r="135" spans="2:20" ht="13.5" customHeight="1">
      <c r="B135" s="82" t="s">
        <v>129</v>
      </c>
      <c r="C135" s="143">
        <v>5.45E-2</v>
      </c>
      <c r="D135" s="82"/>
      <c r="E135" s="82"/>
      <c r="F135" s="82"/>
      <c r="G135" s="82"/>
      <c r="H135" s="82"/>
      <c r="I135" s="144">
        <f>C135</f>
        <v>5.45E-2</v>
      </c>
      <c r="J135" s="144">
        <f t="shared" ref="J135:O135" si="76">I135</f>
        <v>5.45E-2</v>
      </c>
      <c r="K135" s="144">
        <f t="shared" si="76"/>
        <v>5.45E-2</v>
      </c>
      <c r="L135" s="144">
        <f t="shared" si="76"/>
        <v>5.45E-2</v>
      </c>
      <c r="M135" s="144">
        <f t="shared" si="76"/>
        <v>5.45E-2</v>
      </c>
      <c r="N135" s="144">
        <f t="shared" si="76"/>
        <v>5.45E-2</v>
      </c>
      <c r="O135" s="144">
        <f t="shared" si="76"/>
        <v>5.45E-2</v>
      </c>
    </row>
    <row r="136" spans="2:20" ht="13.5" customHeight="1">
      <c r="B136" s="117" t="s">
        <v>127</v>
      </c>
      <c r="C136" s="175"/>
      <c r="G136" s="76"/>
      <c r="H136" s="127"/>
      <c r="I136" s="171">
        <f t="shared" ref="I136:O136" si="77">IF($C$20=1,AVERAGE(H131,I131)*I135,0)</f>
        <v>3.6515</v>
      </c>
      <c r="J136" s="171">
        <f t="shared" si="77"/>
        <v>3.488</v>
      </c>
      <c r="K136" s="171">
        <f t="shared" si="77"/>
        <v>3.488</v>
      </c>
      <c r="L136" s="171">
        <f t="shared" si="77"/>
        <v>3.488</v>
      </c>
      <c r="M136" s="171">
        <f t="shared" si="77"/>
        <v>3.488</v>
      </c>
      <c r="N136" s="171">
        <f t="shared" si="77"/>
        <v>3.488</v>
      </c>
      <c r="O136" s="171">
        <f t="shared" si="77"/>
        <v>3.488</v>
      </c>
      <c r="S136" s="2"/>
    </row>
    <row r="137" spans="2:20" ht="13.5" customHeight="1">
      <c r="B137" s="55"/>
      <c r="Q137" s="148"/>
      <c r="R137" s="153"/>
      <c r="S137" s="153"/>
      <c r="T137" s="153"/>
    </row>
    <row r="138" spans="2:20" ht="13.5" customHeight="1">
      <c r="B138" s="58" t="s">
        <v>130</v>
      </c>
      <c r="C138" s="59"/>
      <c r="D138" s="59"/>
      <c r="E138" s="59"/>
      <c r="F138" s="59"/>
      <c r="G138" s="59"/>
      <c r="H138" s="59"/>
      <c r="I138" s="161">
        <f t="shared" ref="I138:O138" si="78">I136+I128</f>
        <v>82.966870512170232</v>
      </c>
      <c r="J138" s="161">
        <f t="shared" si="78"/>
        <v>80.562163479908435</v>
      </c>
      <c r="K138" s="161">
        <f t="shared" si="78"/>
        <v>65.879345090752466</v>
      </c>
      <c r="L138" s="161">
        <f t="shared" si="78"/>
        <v>60.821352769473151</v>
      </c>
      <c r="M138" s="161">
        <f t="shared" si="78"/>
        <v>58.118157617131494</v>
      </c>
      <c r="N138" s="161">
        <f t="shared" si="78"/>
        <v>50.339111452445508</v>
      </c>
      <c r="O138" s="161">
        <f t="shared" si="78"/>
        <v>42.523605569881568</v>
      </c>
      <c r="Q138" s="148"/>
      <c r="R138" s="153"/>
      <c r="S138" s="153"/>
      <c r="T138" s="153"/>
    </row>
    <row r="139" spans="2:20" ht="13.5" customHeight="1">
      <c r="Q139" s="148"/>
      <c r="R139" s="153"/>
      <c r="S139" s="153"/>
      <c r="T139" s="153"/>
    </row>
    <row r="140" spans="2:20" ht="13.5" customHeight="1">
      <c r="B140" s="33" t="s">
        <v>131</v>
      </c>
      <c r="Q140" s="148"/>
      <c r="R140" s="153"/>
      <c r="S140" s="153"/>
      <c r="T140" s="153"/>
    </row>
    <row r="141" spans="2:20" ht="13.5" customHeight="1">
      <c r="B141" s="55" t="s">
        <v>132</v>
      </c>
      <c r="G141" s="86"/>
      <c r="H141" s="92"/>
      <c r="I141" s="92">
        <f t="shared" ref="I141:N141" si="79">I119</f>
        <v>944.23060133536001</v>
      </c>
      <c r="J141" s="92">
        <f t="shared" si="79"/>
        <v>890.8685291386505</v>
      </c>
      <c r="K141" s="92">
        <f t="shared" si="79"/>
        <v>830.27202508900359</v>
      </c>
      <c r="L141" s="92">
        <f t="shared" si="79"/>
        <v>751.33770648266943</v>
      </c>
      <c r="M141" s="92">
        <f t="shared" si="79"/>
        <v>658.47281266911102</v>
      </c>
      <c r="N141" s="92">
        <f t="shared" si="79"/>
        <v>550.58812803916021</v>
      </c>
      <c r="O141" s="92">
        <f>O119</f>
        <v>425.30201120787899</v>
      </c>
      <c r="R141" s="70"/>
      <c r="S141" s="70"/>
    </row>
    <row r="142" spans="2:20" ht="13.5" customHeight="1">
      <c r="B142" s="55" t="s">
        <v>133</v>
      </c>
      <c r="G142" s="93"/>
      <c r="H142" s="86"/>
      <c r="I142" s="86">
        <f t="shared" ref="I142:O142" si="80">-(I120+I121)</f>
        <v>53.362072196709526</v>
      </c>
      <c r="J142" s="86">
        <f t="shared" si="80"/>
        <v>60.596504049646917</v>
      </c>
      <c r="K142" s="86">
        <f t="shared" si="80"/>
        <v>78.934318606334188</v>
      </c>
      <c r="L142" s="86">
        <f t="shared" si="80"/>
        <v>92.864893813558382</v>
      </c>
      <c r="M142" s="86">
        <f t="shared" si="80"/>
        <v>107.88468462995081</v>
      </c>
      <c r="N142" s="86">
        <f t="shared" si="80"/>
        <v>125.28611683128125</v>
      </c>
      <c r="O142" s="86">
        <f t="shared" si="80"/>
        <v>143.94851502135188</v>
      </c>
      <c r="T142" s="5"/>
    </row>
    <row r="143" spans="2:20" ht="13.5" customHeight="1">
      <c r="B143" s="87" t="s">
        <v>134</v>
      </c>
      <c r="C143" s="88"/>
      <c r="D143" s="88"/>
      <c r="E143" s="88"/>
      <c r="F143" s="88"/>
      <c r="G143" s="88"/>
      <c r="H143" s="94"/>
      <c r="I143" s="128">
        <f>MAX(0, I141 - I142)</f>
        <v>890.8685291386505</v>
      </c>
      <c r="J143" s="128">
        <f>MAX(0, J141 - J142)</f>
        <v>830.27202508900359</v>
      </c>
      <c r="K143" s="128">
        <f>MAX(0, K141 - K142)</f>
        <v>751.33770648266943</v>
      </c>
      <c r="L143" s="128">
        <f>MAX(0, L141 - L142)</f>
        <v>658.47281266911102</v>
      </c>
      <c r="M143" s="128">
        <f>MAX(0, M141 - M142)</f>
        <v>550.58812803916021</v>
      </c>
      <c r="N143" s="128">
        <f t="shared" ref="N143" si="81">MAX(0, N141 - N142)</f>
        <v>425.30201120787899</v>
      </c>
      <c r="O143" s="128">
        <f>MAX(0, O141 - O142)</f>
        <v>281.35349618652708</v>
      </c>
      <c r="T143" s="1"/>
    </row>
    <row r="144" spans="2:20" ht="13.5" customHeight="1">
      <c r="T144" s="1"/>
    </row>
    <row r="145" spans="2:20" ht="13.5" customHeight="1">
      <c r="B145" s="117" t="s">
        <v>135</v>
      </c>
      <c r="C145" s="11"/>
      <c r="D145" s="11"/>
      <c r="E145" s="11"/>
      <c r="F145" s="11"/>
      <c r="G145" s="11"/>
      <c r="H145" s="192">
        <f>O23/H49</f>
        <v>3.0107411673318505</v>
      </c>
      <c r="I145" s="192">
        <f>I141/AVERAGE(H49:I49)</f>
        <v>5.1025164130448744</v>
      </c>
      <c r="J145" s="192">
        <f t="shared" ref="J145:O145" si="82">J141/AVERAGE(I49:J49)</f>
        <v>4.7454987976723473</v>
      </c>
      <c r="K145" s="192">
        <f t="shared" si="82"/>
        <v>4.200591897736528</v>
      </c>
      <c r="L145" s="192">
        <f t="shared" si="82"/>
        <v>3.5608132907335079</v>
      </c>
      <c r="M145" s="192">
        <f t="shared" si="82"/>
        <v>2.880885191785771</v>
      </c>
      <c r="N145" s="192">
        <f t="shared" si="82"/>
        <v>2.2291226986832879</v>
      </c>
      <c r="O145" s="192">
        <f t="shared" si="82"/>
        <v>1.6035786642199819</v>
      </c>
      <c r="T145" s="1"/>
    </row>
    <row r="146" spans="2:20" ht="13.5" customHeight="1"/>
    <row r="147" spans="2:20" ht="13.5" customHeight="1"/>
    <row r="148" spans="2:20" ht="13.5" customHeight="1">
      <c r="B148" s="31" t="s">
        <v>136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</row>
    <row r="149" spans="2:20" ht="13.5" customHeight="1"/>
    <row r="150" spans="2:20" ht="13.5" customHeight="1">
      <c r="B150" s="91" t="str">
        <f>B30</f>
        <v>($mm)</v>
      </c>
      <c r="C150" s="63"/>
      <c r="D150" s="62"/>
      <c r="E150" s="63"/>
      <c r="F150" s="63"/>
      <c r="G150" s="63"/>
      <c r="H150" s="63">
        <f t="shared" ref="H150:O150" si="83">H30</f>
        <v>2025</v>
      </c>
      <c r="I150" s="64">
        <f t="shared" si="83"/>
        <v>2026</v>
      </c>
      <c r="J150" s="64">
        <f t="shared" si="83"/>
        <v>2027</v>
      </c>
      <c r="K150" s="64">
        <f t="shared" si="83"/>
        <v>2028</v>
      </c>
      <c r="L150" s="64">
        <f t="shared" si="83"/>
        <v>2029</v>
      </c>
      <c r="M150" s="64">
        <f t="shared" si="83"/>
        <v>2030</v>
      </c>
      <c r="N150" s="64">
        <f t="shared" si="83"/>
        <v>2031</v>
      </c>
      <c r="O150" s="64">
        <f t="shared" si="83"/>
        <v>2032</v>
      </c>
    </row>
    <row r="151" spans="2:20" ht="13.5" customHeight="1"/>
    <row r="152" spans="2:20" ht="13.5" customHeight="1">
      <c r="B152" s="7" t="s">
        <v>137</v>
      </c>
      <c r="H152" s="6"/>
      <c r="I152" s="81">
        <f t="shared" ref="I152:O152" si="84">I49</f>
        <v>183.43889576459978</v>
      </c>
      <c r="J152" s="81">
        <f t="shared" si="84"/>
        <v>192.01943522291151</v>
      </c>
      <c r="K152" s="81">
        <f t="shared" si="84"/>
        <v>203.29248524067475</v>
      </c>
      <c r="L152" s="81">
        <f t="shared" si="84"/>
        <v>218.71094214369003</v>
      </c>
      <c r="M152" s="81">
        <f t="shared" si="84"/>
        <v>238.42134104941027</v>
      </c>
      <c r="N152" s="81">
        <f t="shared" si="84"/>
        <v>255.57401269615519</v>
      </c>
      <c r="O152" s="81">
        <f t="shared" si="84"/>
        <v>274.86708220922736</v>
      </c>
    </row>
    <row r="153" spans="2:20" ht="13.5" customHeight="1">
      <c r="B153" s="7" t="s">
        <v>138</v>
      </c>
      <c r="H153" s="6"/>
      <c r="I153" s="99">
        <f>O11</f>
        <v>5</v>
      </c>
      <c r="J153" s="99">
        <f>I153</f>
        <v>5</v>
      </c>
      <c r="K153" s="99">
        <f>J153</f>
        <v>5</v>
      </c>
      <c r="L153" s="99">
        <f>K153</f>
        <v>5</v>
      </c>
      <c r="M153" s="99">
        <f>L153</f>
        <v>5</v>
      </c>
      <c r="N153" s="99">
        <f t="shared" ref="N153:O153" si="85">M153</f>
        <v>5</v>
      </c>
      <c r="O153" s="99">
        <f t="shared" si="85"/>
        <v>5</v>
      </c>
    </row>
    <row r="154" spans="2:20" ht="13.5" customHeight="1">
      <c r="H154" s="6"/>
      <c r="I154" s="6"/>
      <c r="J154" s="6"/>
      <c r="K154" s="6"/>
      <c r="L154" s="6"/>
      <c r="M154" s="6"/>
      <c r="N154" s="6"/>
      <c r="O154" s="6"/>
    </row>
    <row r="155" spans="2:20" ht="13.5" customHeight="1">
      <c r="B155" s="78" t="s">
        <v>139</v>
      </c>
      <c r="C155" s="78"/>
      <c r="D155" s="78"/>
      <c r="E155" s="78"/>
      <c r="F155" s="78"/>
      <c r="G155" s="78"/>
      <c r="H155" s="100"/>
      <c r="I155" s="101">
        <f>I152*I153</f>
        <v>917.19447882299892</v>
      </c>
      <c r="J155" s="101">
        <f>J152*J153</f>
        <v>960.09717611455756</v>
      </c>
      <c r="K155" s="101">
        <f>K152*K153</f>
        <v>1016.4624262033738</v>
      </c>
      <c r="L155" s="101">
        <f>L152*L153</f>
        <v>1093.5547107184502</v>
      </c>
      <c r="M155" s="101">
        <f>M152*M153</f>
        <v>1192.1067052470514</v>
      </c>
      <c r="N155" s="101">
        <f t="shared" ref="N155:O155" si="86">N152*N153</f>
        <v>1277.870063480776</v>
      </c>
      <c r="O155" s="101">
        <f t="shared" si="86"/>
        <v>1374.3354110461369</v>
      </c>
    </row>
    <row r="156" spans="2:20" ht="13.5" customHeight="1">
      <c r="B156" s="7" t="s">
        <v>140</v>
      </c>
      <c r="H156" s="6"/>
      <c r="I156" s="81">
        <f t="shared" ref="I156:O156" si="87">-I143</f>
        <v>-890.8685291386505</v>
      </c>
      <c r="J156" s="81">
        <f t="shared" si="87"/>
        <v>-830.27202508900359</v>
      </c>
      <c r="K156" s="81">
        <f t="shared" si="87"/>
        <v>-751.33770648266943</v>
      </c>
      <c r="L156" s="81">
        <f t="shared" si="87"/>
        <v>-658.47281266911102</v>
      </c>
      <c r="M156" s="81">
        <f t="shared" si="87"/>
        <v>-550.58812803916021</v>
      </c>
      <c r="N156" s="81">
        <f t="shared" si="87"/>
        <v>-425.30201120787899</v>
      </c>
      <c r="O156" s="81">
        <f t="shared" si="87"/>
        <v>-281.35349618652708</v>
      </c>
    </row>
    <row r="157" spans="2:20" ht="13.5" customHeight="1">
      <c r="B157" s="7" t="s">
        <v>141</v>
      </c>
      <c r="H157" s="6"/>
      <c r="I157" s="129">
        <f t="shared" ref="I157:O157" si="88">I111-I141+I143</f>
        <v>0</v>
      </c>
      <c r="J157" s="129">
        <f t="shared" si="88"/>
        <v>0</v>
      </c>
      <c r="K157" s="129">
        <f t="shared" si="88"/>
        <v>0</v>
      </c>
      <c r="L157" s="129">
        <f t="shared" si="88"/>
        <v>0</v>
      </c>
      <c r="M157" s="129">
        <f t="shared" si="88"/>
        <v>0</v>
      </c>
      <c r="N157" s="129">
        <f t="shared" si="88"/>
        <v>0</v>
      </c>
      <c r="O157" s="129">
        <f t="shared" si="88"/>
        <v>0</v>
      </c>
    </row>
    <row r="158" spans="2:20" ht="13.5" customHeight="1">
      <c r="H158" s="6"/>
      <c r="I158" s="6"/>
      <c r="J158" s="6"/>
      <c r="K158" s="6"/>
      <c r="L158" s="6"/>
      <c r="M158" s="6"/>
      <c r="N158" s="6"/>
      <c r="O158" s="6"/>
    </row>
    <row r="159" spans="2:20" ht="13.5" customHeight="1">
      <c r="B159" s="78" t="s">
        <v>142</v>
      </c>
      <c r="C159" s="78"/>
      <c r="D159" s="78"/>
      <c r="E159" s="78"/>
      <c r="F159" s="78"/>
      <c r="G159" s="78"/>
      <c r="H159" s="102">
        <f>-E22</f>
        <v>-637.05100222559997</v>
      </c>
      <c r="I159" s="102"/>
      <c r="J159" s="100"/>
      <c r="K159" s="100"/>
      <c r="L159" s="100"/>
      <c r="M159" s="100"/>
      <c r="N159" s="100"/>
      <c r="O159" s="100"/>
    </row>
    <row r="160" spans="2:20" ht="13.5" customHeight="1">
      <c r="B160" s="7" t="s">
        <v>59</v>
      </c>
      <c r="H160" s="103">
        <f>E19</f>
        <v>382.23060133535995</v>
      </c>
      <c r="I160" s="6"/>
      <c r="J160" s="6"/>
      <c r="K160" s="6"/>
      <c r="L160" s="6"/>
      <c r="M160" s="6"/>
      <c r="N160" s="6"/>
      <c r="O160" s="6"/>
    </row>
    <row r="161" spans="2:17" ht="13.5" customHeight="1">
      <c r="H161" s="6"/>
      <c r="I161" s="6"/>
      <c r="J161" s="6"/>
      <c r="K161" s="6"/>
      <c r="L161" s="6"/>
      <c r="M161" s="6"/>
      <c r="N161" s="6"/>
      <c r="O161" s="6"/>
      <c r="Q161" s="2"/>
    </row>
    <row r="162" spans="2:17" ht="13.5" customHeight="1">
      <c r="B162" s="87" t="s">
        <v>143</v>
      </c>
      <c r="C162" s="87"/>
      <c r="D162" s="87"/>
      <c r="E162" s="87"/>
      <c r="F162" s="87"/>
      <c r="G162" s="87"/>
      <c r="H162" s="104">
        <f>SUM(H159:H160)</f>
        <v>-254.82040089024002</v>
      </c>
      <c r="I162" s="105">
        <f>SUM(I155:I157)</f>
        <v>26.325949684348416</v>
      </c>
      <c r="J162" s="105">
        <f>SUM(J155:J157)</f>
        <v>129.82515102555396</v>
      </c>
      <c r="K162" s="105">
        <f>SUM(K155:K157)</f>
        <v>265.12471972070432</v>
      </c>
      <c r="L162" s="105">
        <f>SUM(L155:L157)</f>
        <v>435.0818980493392</v>
      </c>
      <c r="M162" s="105">
        <f>SUM(M155:M157)</f>
        <v>641.51857720789121</v>
      </c>
      <c r="N162" s="105">
        <f t="shared" ref="N162" si="89">SUM(N155:N157)</f>
        <v>852.56805227289703</v>
      </c>
      <c r="O162" s="105">
        <f>SUM(O155:O157)</f>
        <v>1092.9819148596098</v>
      </c>
      <c r="Q162" s="4"/>
    </row>
    <row r="163" spans="2:17" ht="13.5" customHeight="1">
      <c r="B163" s="106" t="s">
        <v>144</v>
      </c>
      <c r="C163" s="107"/>
      <c r="H163" s="108"/>
      <c r="I163" s="109">
        <f t="shared" ref="I163:O163" si="90">I162/$E$20</f>
        <v>0.10331178191532599</v>
      </c>
      <c r="J163" s="109">
        <f t="shared" si="90"/>
        <v>0.50947706922992464</v>
      </c>
      <c r="K163" s="109">
        <f t="shared" si="90"/>
        <v>1.0404375740500571</v>
      </c>
      <c r="L163" s="109">
        <f t="shared" si="90"/>
        <v>1.7074060653281213</v>
      </c>
      <c r="M163" s="109">
        <f t="shared" si="90"/>
        <v>2.5175322500344688</v>
      </c>
      <c r="N163" s="109">
        <f t="shared" si="90"/>
        <v>3.3457605799785539</v>
      </c>
      <c r="O163" s="109">
        <f t="shared" si="90"/>
        <v>4.2892245324203655</v>
      </c>
      <c r="Q163" s="4"/>
    </row>
    <row r="164" spans="2:17" ht="13.5" customHeight="1">
      <c r="B164" s="11" t="s">
        <v>145</v>
      </c>
      <c r="C164" s="106"/>
      <c r="D164" s="106"/>
      <c r="E164" s="11"/>
      <c r="H164" s="22"/>
      <c r="I164" s="110">
        <f>(I162/ABS($H$162))^1-1</f>
        <v>-0.89668821808467403</v>
      </c>
      <c r="J164" s="110">
        <f>((J162/ABS($H$162))^(1/2))-1</f>
        <v>-0.28622337581710855</v>
      </c>
      <c r="K164" s="110">
        <f>((K162/ABS($H$162))^(1/3))-1</f>
        <v>1.3301477570724751E-2</v>
      </c>
      <c r="L164" s="110">
        <f>((L162/ABS($H$162))^(1/4))-1</f>
        <v>0.14309994792212577</v>
      </c>
      <c r="M164" s="110">
        <f>((M162/ABS($H$162))^(1/5))-1</f>
        <v>0.20280440110346665</v>
      </c>
      <c r="N164" s="110">
        <f>((N162/ABS($H$162))^(1/5))-1</f>
        <v>0.27320686607409339</v>
      </c>
      <c r="O164" s="110">
        <f>((O162/ABS($H$162))^(1/5))-1</f>
        <v>0.33806051814437144</v>
      </c>
      <c r="Q164" s="4"/>
    </row>
    <row r="165" spans="2:17" ht="13.5" customHeight="1">
      <c r="B165" s="11"/>
      <c r="C165" s="106"/>
      <c r="D165" s="11"/>
      <c r="E165" s="120"/>
      <c r="F165" s="11"/>
      <c r="G165" s="11"/>
      <c r="H165" s="11"/>
      <c r="I165" s="11"/>
      <c r="J165" s="11"/>
      <c r="K165" s="11"/>
      <c r="M165" s="3"/>
      <c r="N165" s="124"/>
      <c r="O165" s="2"/>
      <c r="Q165" s="4"/>
    </row>
    <row r="166" spans="2:17" ht="13.5" customHeight="1">
      <c r="C166" s="12"/>
      <c r="Q166" s="5"/>
    </row>
    <row r="167" spans="2:17" ht="13.5" customHeight="1">
      <c r="B167" s="31" t="s">
        <v>146</v>
      </c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Q167" s="2"/>
    </row>
    <row r="168" spans="2:17" ht="13.5" customHeight="1">
      <c r="Q168" s="2"/>
    </row>
    <row r="169" spans="2:17" ht="13.5" customHeight="1">
      <c r="B169" s="202" t="s">
        <v>147</v>
      </c>
      <c r="C169" s="142"/>
      <c r="D169" s="142"/>
      <c r="E169" s="142"/>
      <c r="F169" s="142"/>
      <c r="G169" s="142"/>
      <c r="H169" s="142"/>
      <c r="I169" s="202" t="s">
        <v>148</v>
      </c>
      <c r="J169" s="142"/>
      <c r="K169" s="142"/>
      <c r="L169" s="142"/>
      <c r="M169" s="142"/>
      <c r="N169" s="142"/>
      <c r="O169" s="142"/>
      <c r="Q169" s="2"/>
    </row>
    <row r="170" spans="2:17" ht="13.5" customHeight="1">
      <c r="E170" s="11"/>
      <c r="F170" s="22" t="s">
        <v>149</v>
      </c>
      <c r="G170" s="11"/>
      <c r="H170" s="11"/>
      <c r="L170" s="168"/>
      <c r="M170" s="168" t="s">
        <v>60</v>
      </c>
      <c r="N170" s="168"/>
    </row>
    <row r="171" spans="2:17" ht="13.5" customHeight="1">
      <c r="C171" s="139">
        <f>O164</f>
        <v>0.33806051814437144</v>
      </c>
      <c r="D171" s="140">
        <v>0.1</v>
      </c>
      <c r="E171" s="140">
        <f>D171+5%</f>
        <v>0.15000000000000002</v>
      </c>
      <c r="F171" s="140">
        <f>E171+5%</f>
        <v>0.2</v>
      </c>
      <c r="G171" s="140">
        <f>F171+5%</f>
        <v>0.25</v>
      </c>
      <c r="H171" s="140">
        <f>G171+5%</f>
        <v>0.3</v>
      </c>
      <c r="J171" s="165">
        <f>O164</f>
        <v>0.33806051814437144</v>
      </c>
      <c r="K171" s="60">
        <f>L171-1%</f>
        <v>1.6499999999999994E-2</v>
      </c>
      <c r="L171" s="60">
        <f>M171-1%</f>
        <v>2.6499999999999996E-2</v>
      </c>
      <c r="M171" s="60">
        <v>3.6499999999999998E-2</v>
      </c>
      <c r="N171" s="60">
        <f>M171+1%</f>
        <v>4.65E-2</v>
      </c>
      <c r="O171" s="60">
        <f>N171+1%</f>
        <v>5.6500000000000002E-2</v>
      </c>
    </row>
    <row r="172" spans="2:17" ht="13.5" customHeight="1">
      <c r="B172" s="217" t="s">
        <v>150</v>
      </c>
      <c r="C172" s="169">
        <v>3</v>
      </c>
      <c r="D172" s="122">
        <f t="dataTable" ref="D172:H176" dt2D="1" dtr="1" r1="O18" r2="O11" ca="1"/>
        <v>0.20271699925090569</v>
      </c>
      <c r="E172" s="122">
        <v>0.18290947977865812</v>
      </c>
      <c r="F172" s="122">
        <v>0.16346346030206726</v>
      </c>
      <c r="G172" s="122">
        <v>0.14430654183696534</v>
      </c>
      <c r="H172" s="122">
        <v>0.12537014917134637</v>
      </c>
      <c r="I172" s="217" t="s">
        <v>150</v>
      </c>
      <c r="J172" s="166">
        <v>3</v>
      </c>
      <c r="K172" s="198">
        <f t="dataTable" ref="K172:O176" dt2D="1" dtr="1" r1="I124" r2="O11" ca="1"/>
        <v>0.17155226449192829</v>
      </c>
      <c r="L172" s="197">
        <v>0.16753588191081037</v>
      </c>
      <c r="M172" s="197">
        <v>0.16346346030206726</v>
      </c>
      <c r="N172" s="197">
        <v>0.15933320912760052</v>
      </c>
      <c r="O172" s="197">
        <v>0.15514324724380102</v>
      </c>
    </row>
    <row r="173" spans="2:17" ht="14.1" customHeight="1">
      <c r="B173" s="217"/>
      <c r="C173" s="169">
        <f>C172+1</f>
        <v>4</v>
      </c>
      <c r="D173" s="122">
        <v>0.29844172290379167</v>
      </c>
      <c r="E173" s="122">
        <v>0.28033487389745404</v>
      </c>
      <c r="F173" s="122">
        <v>0.26274603758562542</v>
      </c>
      <c r="G173" s="122">
        <v>0.24561451105766441</v>
      </c>
      <c r="H173" s="122">
        <v>0.22888570891678039</v>
      </c>
      <c r="I173" s="217"/>
      <c r="J173" s="167">
        <f>J172+1</f>
        <v>4</v>
      </c>
      <c r="K173" s="199">
        <v>0.26860258267525072</v>
      </c>
      <c r="L173" s="122">
        <v>0.26568785961846508</v>
      </c>
      <c r="M173" s="122">
        <v>0.26274603758562542</v>
      </c>
      <c r="N173" s="122">
        <v>0.25977654302349018</v>
      </c>
      <c r="O173" s="122">
        <v>0.25677878327046977</v>
      </c>
    </row>
    <row r="174" spans="2:17" ht="14.1" customHeight="1">
      <c r="B174" s="217"/>
      <c r="C174" s="169">
        <f t="shared" ref="C174:C176" si="91">C173+1</f>
        <v>5</v>
      </c>
      <c r="D174" s="122">
        <v>0.37218846540751382</v>
      </c>
      <c r="E174" s="122">
        <v>0.35483097198369884</v>
      </c>
      <c r="F174" s="123">
        <v>0.33806051814437144</v>
      </c>
      <c r="G174" s="122">
        <v>0.32181807600092949</v>
      </c>
      <c r="H174" s="122">
        <v>0.30605130675344605</v>
      </c>
      <c r="I174" s="217"/>
      <c r="J174" s="167">
        <f>J173+1</f>
        <v>5</v>
      </c>
      <c r="K174" s="199">
        <v>0.34271647144313255</v>
      </c>
      <c r="L174" s="122">
        <v>0.34039658113302695</v>
      </c>
      <c r="M174" s="123">
        <v>0.33806051814437144</v>
      </c>
      <c r="N174" s="122">
        <v>0.33570802656942633</v>
      </c>
      <c r="O174" s="122">
        <v>0.33333884414555492</v>
      </c>
    </row>
    <row r="175" spans="2:17" ht="14.1" customHeight="1">
      <c r="B175" s="217"/>
      <c r="C175" s="169">
        <f t="shared" si="91"/>
        <v>6</v>
      </c>
      <c r="D175" s="122">
        <v>0.43282241255789033</v>
      </c>
      <c r="E175" s="122">
        <v>0.41582764413337814</v>
      </c>
      <c r="F175" s="122">
        <v>0.39946097497785527</v>
      </c>
      <c r="G175" s="122">
        <v>0.38366304482570346</v>
      </c>
      <c r="H175" s="122">
        <v>0.36838147696521184</v>
      </c>
      <c r="I175" s="217"/>
      <c r="J175" s="167">
        <f>J174+1</f>
        <v>6</v>
      </c>
      <c r="K175" s="199">
        <v>0.40335745493882613</v>
      </c>
      <c r="L175" s="122">
        <v>0.40141463181061554</v>
      </c>
      <c r="M175" s="122">
        <v>0.39946097497785527</v>
      </c>
      <c r="N175" s="122">
        <v>0.39749634755955232</v>
      </c>
      <c r="O175" s="122">
        <v>0.39552060996542027</v>
      </c>
    </row>
    <row r="176" spans="2:17" ht="14.1" customHeight="1">
      <c r="B176" s="217"/>
      <c r="C176" s="169">
        <f t="shared" si="91"/>
        <v>7</v>
      </c>
      <c r="D176" s="122">
        <v>0.48464974113010473</v>
      </c>
      <c r="E176" s="122">
        <v>0.46782763608872457</v>
      </c>
      <c r="F176" s="122">
        <v>0.45166251544574898</v>
      </c>
      <c r="G176" s="122">
        <v>0.43609414811606872</v>
      </c>
      <c r="H176" s="122">
        <v>0.42106949978351249</v>
      </c>
      <c r="I176" s="217"/>
      <c r="J176" s="167">
        <f>J175+1</f>
        <v>7</v>
      </c>
      <c r="K176" s="199">
        <v>0.45503116437159519</v>
      </c>
      <c r="L176" s="122">
        <v>0.45335074391215224</v>
      </c>
      <c r="M176" s="122">
        <v>0.45166251544574898</v>
      </c>
      <c r="N176" s="122">
        <v>0.44996639686614093</v>
      </c>
      <c r="O176" s="122">
        <v>0.44826230471611805</v>
      </c>
    </row>
    <row r="177" spans="2:15" ht="14.1" customHeight="1">
      <c r="B177" s="121"/>
      <c r="I177" s="37"/>
    </row>
    <row r="178" spans="2:15" ht="14.1" customHeight="1">
      <c r="B178" s="202" t="s">
        <v>151</v>
      </c>
      <c r="C178" s="142"/>
      <c r="D178" s="142"/>
      <c r="E178" s="142"/>
      <c r="F178" s="142"/>
      <c r="G178" s="142"/>
      <c r="H178" s="142"/>
      <c r="I178" s="202" t="s">
        <v>152</v>
      </c>
      <c r="J178" s="142"/>
      <c r="K178" s="142"/>
      <c r="L178" s="142"/>
      <c r="M178" s="142"/>
      <c r="N178" s="142"/>
      <c r="O178" s="142"/>
    </row>
    <row r="179" spans="2:15" ht="14.1" customHeight="1">
      <c r="F179" s="22" t="s">
        <v>153</v>
      </c>
      <c r="I179" s="37"/>
      <c r="M179" s="168" t="s">
        <v>154</v>
      </c>
      <c r="N179" s="160"/>
    </row>
    <row r="180" spans="2:15" ht="14.1" customHeight="1">
      <c r="C180" s="139">
        <f>O164</f>
        <v>0.33806051814437144</v>
      </c>
      <c r="D180" s="60">
        <f>E180-1.5%</f>
        <v>2.1400000000000002E-2</v>
      </c>
      <c r="E180" s="60">
        <f>F180-1.5%</f>
        <v>3.6400000000000002E-2</v>
      </c>
      <c r="F180" s="60">
        <v>5.1400000000000001E-2</v>
      </c>
      <c r="G180" s="60">
        <f>F180+1.5%</f>
        <v>6.6400000000000001E-2</v>
      </c>
      <c r="H180" s="60">
        <f>G180+1.5%</f>
        <v>8.14E-2</v>
      </c>
      <c r="I180" s="37"/>
      <c r="J180" s="120">
        <f>O164</f>
        <v>0.33806051814437144</v>
      </c>
      <c r="K180" s="60">
        <f>L180-1%</f>
        <v>2.7499999999999997E-2</v>
      </c>
      <c r="L180" s="191">
        <f>M180-1%</f>
        <v>3.7499999999999999E-2</v>
      </c>
      <c r="M180" s="191">
        <v>4.7500000000000001E-2</v>
      </c>
      <c r="N180" s="191">
        <f>M180+1%</f>
        <v>5.7500000000000002E-2</v>
      </c>
      <c r="O180" s="191">
        <f>N180+1%</f>
        <v>6.7500000000000004E-2</v>
      </c>
    </row>
    <row r="181" spans="2:15" ht="14.1" customHeight="1">
      <c r="B181" s="217" t="s">
        <v>150</v>
      </c>
      <c r="C181" s="169">
        <v>3</v>
      </c>
      <c r="D181" s="195">
        <f t="dataTable" ref="D181:H185" dt2D="1" dtr="1" r1="O51" r2="O11" ca="1"/>
        <v>0.14423076523366785</v>
      </c>
      <c r="E181" s="194">
        <v>0.15401522814457658</v>
      </c>
      <c r="F181" s="194">
        <v>0.1634786867697906</v>
      </c>
      <c r="G181" s="194">
        <v>0.17264390675143315</v>
      </c>
      <c r="H181" s="194">
        <v>0.18153123707947905</v>
      </c>
      <c r="I181" s="217" t="s">
        <v>150</v>
      </c>
      <c r="J181" s="167">
        <v>3</v>
      </c>
      <c r="K181" s="195">
        <f t="dataTable" ref="K181:O185" dt2D="1" dtr="1" r1="K24" r2="O11"/>
        <v>0.19979098196986511</v>
      </c>
      <c r="L181" s="122">
        <v>0.18258115046923962</v>
      </c>
      <c r="M181" s="122">
        <v>0.16346346030206726</v>
      </c>
      <c r="N181" s="122">
        <v>0.14206678035456677</v>
      </c>
      <c r="O181" s="122">
        <v>0.11789150932476677</v>
      </c>
    </row>
    <row r="182" spans="2:15" ht="14.1" customHeight="1">
      <c r="B182" s="217"/>
      <c r="C182" s="169">
        <f>C181+1</f>
        <v>4</v>
      </c>
      <c r="D182" s="196">
        <v>0.24515897386360641</v>
      </c>
      <c r="E182" s="122">
        <v>0.2540830102485061</v>
      </c>
      <c r="F182" s="122">
        <v>0.26276003393256264</v>
      </c>
      <c r="G182" s="122">
        <v>0.27120491577686301</v>
      </c>
      <c r="H182" s="122">
        <v>0.2794311789334285</v>
      </c>
      <c r="I182" s="217"/>
      <c r="J182" s="167">
        <v>4</v>
      </c>
      <c r="K182" s="196">
        <v>0.28945920394410507</v>
      </c>
      <c r="L182" s="122">
        <v>0.27667356935448062</v>
      </c>
      <c r="M182" s="122">
        <v>0.26274603758562542</v>
      </c>
      <c r="N182" s="122">
        <v>0.24751976165982503</v>
      </c>
      <c r="O182" s="122">
        <v>0.2308010500004618</v>
      </c>
    </row>
    <row r="183" spans="2:15" ht="14.1" customHeight="1">
      <c r="B183" s="217"/>
      <c r="C183" s="169">
        <f t="shared" ref="C183:C185" si="92">C182+1</f>
        <v>5</v>
      </c>
      <c r="D183" s="196">
        <v>0.32114200747888288</v>
      </c>
      <c r="E183" s="122">
        <v>0.32971580805798206</v>
      </c>
      <c r="F183" s="123">
        <v>0.33807401706857321</v>
      </c>
      <c r="G183" s="122">
        <v>0.3462284614541018</v>
      </c>
      <c r="H183" s="122">
        <v>0.35418998867122564</v>
      </c>
      <c r="I183" s="217"/>
      <c r="J183" s="167">
        <v>5</v>
      </c>
      <c r="K183" s="196">
        <v>0.35946792530772309</v>
      </c>
      <c r="L183" s="122">
        <v>0.34916773097727205</v>
      </c>
      <c r="M183" s="122">
        <v>0.33806051814437144</v>
      </c>
      <c r="N183" s="122">
        <v>0.32605799094222654</v>
      </c>
      <c r="O183" s="122">
        <v>0.31305572844880469</v>
      </c>
    </row>
    <row r="184" spans="2:15" ht="14.1" customHeight="1">
      <c r="B184" s="217"/>
      <c r="C184" s="169">
        <f t="shared" si="92"/>
        <v>6</v>
      </c>
      <c r="D184" s="196">
        <v>0.38283604892195466</v>
      </c>
      <c r="E184" s="122">
        <v>0.39125463846969488</v>
      </c>
      <c r="F184" s="122">
        <v>0.3994742599694534</v>
      </c>
      <c r="G184" s="122">
        <v>0.40750519124446893</v>
      </c>
      <c r="H184" s="122">
        <v>0.41535690723815755</v>
      </c>
      <c r="I184" s="217"/>
      <c r="J184" s="167">
        <v>6</v>
      </c>
      <c r="K184" s="196">
        <v>0.41746403303017265</v>
      </c>
      <c r="L184" s="122">
        <v>0.40877408591849607</v>
      </c>
      <c r="M184" s="122">
        <v>0.39946097497785527</v>
      </c>
      <c r="N184" s="122">
        <v>0.38946686267583197</v>
      </c>
      <c r="O184" s="122">
        <v>0.37872512551362014</v>
      </c>
    </row>
    <row r="185" spans="2:15" ht="14.1" customHeight="1">
      <c r="B185" s="217"/>
      <c r="C185" s="169">
        <f t="shared" si="92"/>
        <v>7</v>
      </c>
      <c r="D185" s="196">
        <v>0.43515399753608053</v>
      </c>
      <c r="E185" s="122">
        <v>0.44350940443266418</v>
      </c>
      <c r="F185" s="122">
        <v>0.4516757208184039</v>
      </c>
      <c r="G185" s="122">
        <v>0.45966231092626431</v>
      </c>
      <c r="H185" s="122">
        <v>0.46747783688071798</v>
      </c>
      <c r="I185" s="217"/>
      <c r="J185" s="167">
        <v>7</v>
      </c>
      <c r="K185" s="196">
        <v>0.4672780562571377</v>
      </c>
      <c r="L185" s="122">
        <v>0.45972431224109678</v>
      </c>
      <c r="M185" s="122">
        <v>0.45166251544574898</v>
      </c>
      <c r="N185" s="122">
        <v>0.44305110313085394</v>
      </c>
      <c r="O185" s="122">
        <v>0.43384304612092794</v>
      </c>
    </row>
    <row r="186" spans="2:15" ht="14.1" customHeight="1">
      <c r="B186" s="201"/>
    </row>
    <row r="187" spans="2:15" ht="14.1" customHeight="1">
      <c r="J187" s="145"/>
    </row>
    <row r="188" spans="2:15" ht="14.1" customHeight="1"/>
    <row r="189" spans="2:15" ht="14.1" customHeight="1"/>
    <row r="190" spans="2:15" ht="14.1" customHeight="1"/>
    <row r="191" spans="2:15" ht="14.1" customHeight="1"/>
    <row r="192" spans="2:15" ht="14.1" customHeight="1">
      <c r="J192" s="190"/>
    </row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spans="2:8" ht="14.1" customHeight="1"/>
    <row r="242" spans="2:8" ht="14.1" customHeight="1"/>
    <row r="243" spans="2:8" ht="14.1" customHeight="1"/>
    <row r="244" spans="2:8" ht="14.1" customHeight="1"/>
    <row r="245" spans="2:8" ht="14.1" customHeight="1"/>
    <row r="246" spans="2:8">
      <c r="G246" s="103"/>
      <c r="H246" s="103"/>
    </row>
    <row r="247" spans="2:8">
      <c r="G247" s="103"/>
      <c r="H247" s="103"/>
    </row>
    <row r="248" spans="2:8">
      <c r="G248" s="103"/>
      <c r="H248" s="103"/>
    </row>
    <row r="249" spans="2:8">
      <c r="G249" s="103"/>
      <c r="H249" s="103"/>
    </row>
    <row r="250" spans="2:8">
      <c r="G250" s="103"/>
      <c r="H250" s="103"/>
    </row>
    <row r="251" spans="2:8">
      <c r="B251" s="11"/>
      <c r="G251" s="103"/>
      <c r="H251" s="103"/>
    </row>
    <row r="252" spans="2:8">
      <c r="G252" s="103"/>
      <c r="H252" s="103"/>
    </row>
    <row r="253" spans="2:8">
      <c r="G253" s="103"/>
      <c r="H253" s="103"/>
    </row>
    <row r="254" spans="2:8">
      <c r="G254" s="103"/>
      <c r="H254" s="103"/>
    </row>
    <row r="255" spans="2:8">
      <c r="G255" s="103"/>
      <c r="H255" s="103"/>
    </row>
    <row r="256" spans="2:8">
      <c r="G256" s="103"/>
      <c r="H256" s="103"/>
    </row>
    <row r="257" spans="2:8">
      <c r="B257" s="11"/>
      <c r="G257" s="103"/>
      <c r="H257" s="103"/>
    </row>
    <row r="258" spans="2:8">
      <c r="G258" s="103"/>
      <c r="H258" s="103"/>
    </row>
    <row r="259" spans="2:8">
      <c r="G259" s="103"/>
      <c r="H259" s="103"/>
    </row>
    <row r="260" spans="2:8">
      <c r="G260" s="103"/>
      <c r="H260" s="103"/>
    </row>
    <row r="261" spans="2:8">
      <c r="G261" s="103"/>
      <c r="H261" s="103"/>
    </row>
    <row r="262" spans="2:8">
      <c r="G262" s="103"/>
      <c r="H262" s="103"/>
    </row>
    <row r="263" spans="2:8">
      <c r="G263" s="103"/>
      <c r="H263" s="103"/>
    </row>
    <row r="264" spans="2:8">
      <c r="B264" s="11"/>
      <c r="G264" s="103"/>
      <c r="H264" s="103"/>
    </row>
    <row r="265" spans="2:8">
      <c r="G265" s="103"/>
      <c r="H265" s="103"/>
    </row>
    <row r="266" spans="2:8">
      <c r="B266" s="11"/>
      <c r="G266" s="103"/>
      <c r="H266" s="103"/>
    </row>
    <row r="267" spans="2:8">
      <c r="G267" s="103"/>
      <c r="H267" s="103"/>
    </row>
    <row r="268" spans="2:8">
      <c r="G268" s="103"/>
      <c r="H268" s="103"/>
    </row>
    <row r="269" spans="2:8">
      <c r="G269" s="103"/>
      <c r="H269" s="103"/>
    </row>
    <row r="270" spans="2:8">
      <c r="G270" s="103"/>
      <c r="H270" s="103"/>
    </row>
    <row r="271" spans="2:8">
      <c r="G271" s="103"/>
      <c r="H271" s="103"/>
    </row>
    <row r="272" spans="2:8">
      <c r="B272" s="11"/>
      <c r="G272" s="103"/>
      <c r="H272" s="103"/>
    </row>
    <row r="273" spans="2:8">
      <c r="B273" s="11"/>
      <c r="G273" s="103"/>
      <c r="H273" s="103"/>
    </row>
  </sheetData>
  <mergeCells count="5">
    <mergeCell ref="B181:B185"/>
    <mergeCell ref="B3:O6"/>
    <mergeCell ref="I172:I176"/>
    <mergeCell ref="I181:I185"/>
    <mergeCell ref="B172:B176"/>
  </mergeCells>
  <conditionalFormatting sqref="D172:H176">
    <cfRule type="colorScale" priority="30">
      <colorScale>
        <cfvo type="min"/>
        <cfvo type="max"/>
        <color theme="0"/>
        <color theme="4"/>
      </colorScale>
    </cfRule>
    <cfRule type="colorScale" priority="31">
      <colorScale>
        <cfvo type="min"/>
        <cfvo type="max"/>
        <color theme="4"/>
        <color theme="0"/>
      </colorScale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3" priority="44">
      <formula>ISEVEN(ROW())</formula>
    </cfRule>
  </conditionalFormatting>
  <conditionalFormatting sqref="D181:H185">
    <cfRule type="colorScale" priority="13">
      <colorScale>
        <cfvo type="min"/>
        <cfvo type="max"/>
        <color theme="0"/>
        <color theme="4"/>
      </colorScale>
    </cfRule>
    <cfRule type="colorScale" priority="14">
      <colorScale>
        <cfvo type="min"/>
        <cfvo type="max"/>
        <color theme="4"/>
        <color theme="0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2" priority="16">
      <formula>ISEVEN(ROW())</formula>
    </cfRule>
  </conditionalFormatting>
  <conditionalFormatting sqref="K172:O176">
    <cfRule type="colorScale" priority="1">
      <colorScale>
        <cfvo type="min"/>
        <cfvo type="max"/>
        <color theme="0"/>
        <color theme="4"/>
      </colorScale>
    </cfRule>
    <cfRule type="colorScale" priority="2">
      <colorScale>
        <cfvo type="min"/>
        <cfvo type="max"/>
        <color theme="4"/>
        <color theme="0"/>
      </colorScale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1" priority="4">
      <formula>ISEVEN(ROW())</formula>
    </cfRule>
  </conditionalFormatting>
  <conditionalFormatting sqref="K181:O185">
    <cfRule type="colorScale" priority="5">
      <colorScale>
        <cfvo type="min"/>
        <cfvo type="max"/>
        <color theme="0"/>
        <color theme="4"/>
      </colorScale>
    </cfRule>
    <cfRule type="colorScale" priority="6">
      <colorScale>
        <cfvo type="min"/>
        <cfvo type="max"/>
        <color theme="4"/>
        <color theme="0"/>
      </colorScale>
    </cfRule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  <cfRule type="expression" dxfId="0" priority="8">
      <formula>ISEVEN(ROW())</formula>
    </cfRule>
  </conditionalFormatting>
  <dataValidations disablePrompts="1" count="1">
    <dataValidation type="list" allowBlank="1" showInputMessage="1" showErrorMessage="1" sqref="C20" xr:uid="{14480FB5-6101-4A86-8685-C142B280642D}">
      <formula1>"0,1"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6464a8a-f8ed-40b1-99e2-5f6b50a20250}" enabled="0" method="" siteId="{96464a8a-f8ed-40b1-99e2-5f6b50a202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Connor Valenti</cp:lastModifiedBy>
  <cp:revision/>
  <dcterms:created xsi:type="dcterms:W3CDTF">2026-02-10T19:51:42Z</dcterms:created>
  <dcterms:modified xsi:type="dcterms:W3CDTF">2026-08-09T00:05:29Z</dcterms:modified>
  <cp:category/>
  <cp:contentStatus/>
</cp:coreProperties>
</file>